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0" yWindow="1220" windowWidth="32767" windowHeight="16600" activeTab="0"/>
  </bookViews>
  <sheets>
    <sheet name="Calculation Basis" sheetId="1" r:id="rId1"/>
    <sheet name="Institution Fund Division" sheetId="2" r:id="rId2"/>
  </sheets>
  <definedNames/>
  <calcPr fullCalcOnLoad="1"/>
</workbook>
</file>

<file path=xl/sharedStrings.xml><?xml version="1.0" encoding="utf-8"?>
<sst xmlns="http://schemas.openxmlformats.org/spreadsheetml/2006/main" count="162" uniqueCount="156">
  <si>
    <t>Year 1</t>
  </si>
  <si>
    <t>Totals</t>
  </si>
  <si>
    <t>Expense Code Description</t>
  </si>
  <si>
    <t>Expense Code</t>
  </si>
  <si>
    <t>Total Funding Awarded to Date:</t>
  </si>
  <si>
    <t>Fund Number:</t>
  </si>
  <si>
    <r>
      <t>Award Dates:</t>
    </r>
    <r>
      <rPr>
        <sz val="12"/>
        <color indexed="8"/>
        <rFont val="Cambria"/>
        <family val="0"/>
      </rPr>
      <t xml:space="preserve"> 7/1/2015-6/30/2018</t>
    </r>
  </si>
  <si>
    <r>
      <t>Sponsor Number:</t>
    </r>
    <r>
      <rPr>
        <sz val="11"/>
        <color theme="1"/>
        <rFont val="Calibri"/>
        <family val="0"/>
      </rPr>
      <t xml:space="preserve"> </t>
    </r>
  </si>
  <si>
    <t>IHEP/CAS</t>
  </si>
  <si>
    <r>
      <t xml:space="preserve">Professor: </t>
    </r>
    <r>
      <rPr>
        <sz val="11"/>
        <color theme="1"/>
        <rFont val="Calibri"/>
        <family val="0"/>
      </rPr>
      <t>Joao Guimaraes da Costa</t>
    </r>
  </si>
  <si>
    <t>International Cooperation and Exchange</t>
  </si>
  <si>
    <t>Labor Service Cost</t>
  </si>
  <si>
    <t>Domestic Travel Expenses</t>
  </si>
  <si>
    <t>Number</t>
  </si>
  <si>
    <t>Graduate Students</t>
  </si>
  <si>
    <t>Cost/trip</t>
  </si>
  <si>
    <t>5-year Total</t>
  </si>
  <si>
    <t>Domestic Trips/Workshops for staff</t>
  </si>
  <si>
    <t xml:space="preserve">Total/ per year </t>
  </si>
  <si>
    <t xml:space="preserve">Domestic Trips/Workshops for students </t>
  </si>
  <si>
    <t xml:space="preserve">Equipments </t>
  </si>
  <si>
    <t>Conference cost</t>
  </si>
  <si>
    <t xml:space="preserve">organizing conference </t>
  </si>
  <si>
    <t>Equipments  Cost</t>
  </si>
  <si>
    <t>total cost</t>
  </si>
  <si>
    <t xml:space="preserve">high performance server to communicate with frontend readout chip, merge the all data stream. </t>
  </si>
  <si>
    <t xml:space="preserve">high speed data write and read , need to handle 2Gb/sec data </t>
  </si>
  <si>
    <t>Testing and processing fees</t>
  </si>
  <si>
    <t>Number of runs</t>
  </si>
  <si>
    <t xml:space="preserve">number </t>
  </si>
  <si>
    <t xml:space="preserve">for salary of staff members </t>
  </si>
  <si>
    <t xml:space="preserve">total hours </t>
  </si>
  <si>
    <t xml:space="preserve">clean room power </t>
  </si>
  <si>
    <t xml:space="preserve"> cost from server </t>
  </si>
  <si>
    <t>for precision assemble the sensor on the ladder，precision up to 5um, the range automatic robot covers 0.5m X 0.5m. It can be used to build a large module</t>
  </si>
  <si>
    <t>distribution the trigger signal. Very useful for laser test, beam test, radiation source test, where one have external trigger</t>
  </si>
  <si>
    <t>Livepool/Oxford/Barcelona/CERN  experts to China</t>
  </si>
  <si>
    <r>
      <t>3.</t>
    </r>
    <r>
      <rPr>
        <sz val="10"/>
        <color indexed="8"/>
        <rFont val="宋体"/>
        <family val="0"/>
      </rPr>
      <t>测试化验加工费 (testing and manufacturing fee)</t>
    </r>
  </si>
  <si>
    <r>
      <t>4.</t>
    </r>
    <r>
      <rPr>
        <sz val="10"/>
        <color indexed="8"/>
        <rFont val="宋体"/>
        <family val="0"/>
      </rPr>
      <t>燃料动力费 (fuel power cost)</t>
    </r>
  </si>
  <si>
    <r>
      <t>5.</t>
    </r>
    <r>
      <rPr>
        <sz val="10"/>
        <color indexed="8"/>
        <rFont val="宋体"/>
        <family val="0"/>
      </rPr>
      <t>差旅费 (travel cost )</t>
    </r>
  </si>
  <si>
    <r>
      <t>6.</t>
    </r>
    <r>
      <rPr>
        <sz val="10"/>
        <color indexed="8"/>
        <rFont val="宋体"/>
        <family val="0"/>
      </rPr>
      <t>会议费 (conference cost)</t>
    </r>
  </si>
  <si>
    <r>
      <t>7.</t>
    </r>
    <r>
      <rPr>
        <sz val="10"/>
        <color indexed="8"/>
        <rFont val="宋体"/>
        <family val="0"/>
      </rPr>
      <t>国际合作与交流费 (international cooperation and exchange)</t>
    </r>
  </si>
  <si>
    <r>
      <t>8.</t>
    </r>
    <r>
      <rPr>
        <sz val="10"/>
        <color indexed="8"/>
        <rFont val="宋体"/>
        <family val="0"/>
      </rPr>
      <t>出版</t>
    </r>
    <r>
      <rPr>
        <sz val="10"/>
        <color indexed="8"/>
        <rFont val="Cambria"/>
        <family val="0"/>
      </rPr>
      <t>/</t>
    </r>
    <r>
      <rPr>
        <sz val="10"/>
        <color indexed="8"/>
        <rFont val="宋体"/>
        <family val="0"/>
      </rPr>
      <t>文献</t>
    </r>
    <r>
      <rPr>
        <sz val="10"/>
        <color indexed="8"/>
        <rFont val="Cambria"/>
        <family val="0"/>
      </rPr>
      <t>/</t>
    </r>
    <r>
      <rPr>
        <sz val="10"/>
        <color indexed="8"/>
        <rFont val="宋体"/>
        <family val="0"/>
      </rPr>
      <t>信息传播</t>
    </r>
    <r>
      <rPr>
        <sz val="10"/>
        <color indexed="8"/>
        <rFont val="Cambria"/>
        <family val="0"/>
      </rPr>
      <t>/</t>
    </r>
    <r>
      <rPr>
        <sz val="10"/>
        <color indexed="8"/>
        <rFont val="宋体"/>
        <family val="0"/>
      </rPr>
      <t>知识产权事务费(publication / literature / information dissemination / intellectual property services)</t>
    </r>
  </si>
  <si>
    <r>
      <t>9.</t>
    </r>
    <r>
      <rPr>
        <sz val="10"/>
        <color indexed="8"/>
        <rFont val="宋体"/>
        <family val="0"/>
      </rPr>
      <t>劳务费(i. labor costs)</t>
    </r>
  </si>
  <si>
    <r>
      <t>10.</t>
    </r>
    <r>
      <rPr>
        <sz val="10"/>
        <color indexed="8"/>
        <rFont val="宋体"/>
        <family val="0"/>
      </rPr>
      <t>专家咨询费 (expert consultation fee)</t>
    </r>
  </si>
  <si>
    <r>
      <t>11.</t>
    </r>
    <r>
      <rPr>
        <sz val="10"/>
        <color indexed="8"/>
        <rFont val="宋体"/>
        <family val="0"/>
      </rPr>
      <t>其他支出 (other cost)</t>
    </r>
  </si>
  <si>
    <t>（二）间接费用 (indirect cost)</t>
  </si>
  <si>
    <t>&gt;500</t>
  </si>
  <si>
    <t>&lt;500&amp;&gt;1000</t>
  </si>
  <si>
    <t>&gt;1000</t>
  </si>
  <si>
    <t>其中：绩效支出(salary cost among indirect fee)</t>
  </si>
  <si>
    <t>Total cost</t>
  </si>
  <si>
    <r>
      <t>Title:</t>
    </r>
    <r>
      <rPr>
        <sz val="11"/>
        <color theme="1"/>
        <rFont val="Calibri"/>
        <family val="0"/>
      </rPr>
      <t xml:space="preserve"> CEPC Research</t>
    </r>
  </si>
  <si>
    <r>
      <t xml:space="preserve">Sponsor: </t>
    </r>
    <r>
      <rPr>
        <sz val="11"/>
        <color theme="1"/>
        <rFont val="Calibri"/>
        <family val="0"/>
      </rPr>
      <t>MOST - Ministry of Science and Technology</t>
    </r>
  </si>
  <si>
    <t>Indirect fee</t>
  </si>
  <si>
    <t>Fuel power cost</t>
  </si>
  <si>
    <t xml:space="preserve">Publication / literature / information dissemination / </t>
  </si>
  <si>
    <t xml:space="preserve">Consultant fee </t>
  </si>
  <si>
    <t>Material fee</t>
  </si>
  <si>
    <t xml:space="preserve">Conference </t>
  </si>
  <si>
    <r>
      <rPr>
        <b/>
        <sz val="12"/>
        <color indexed="8"/>
        <rFont val="Lantinghei SC Heavy"/>
        <family val="0"/>
      </rPr>
      <t>万元</t>
    </r>
    <r>
      <rPr>
        <b/>
        <sz val="12"/>
        <color indexed="8"/>
        <rFont val="Cambria"/>
        <family val="0"/>
      </rPr>
      <t>(10,000 RMB)</t>
    </r>
  </si>
  <si>
    <t>number</t>
  </si>
  <si>
    <t xml:space="preserve">cost / per book / per software </t>
  </si>
  <si>
    <t>Book</t>
  </si>
  <si>
    <t>Low material soft PCB design fee</t>
  </si>
  <si>
    <t>Shipping fee</t>
  </si>
  <si>
    <t xml:space="preserve">Paper publication </t>
  </si>
  <si>
    <t xml:space="preserve">Paper search </t>
  </si>
  <si>
    <t xml:space="preserve">6k per month for 9 months </t>
  </si>
  <si>
    <t xml:space="preserve">1 postdoc for  each , two postdoc for IHEP, 5k RMB per month for 12 months </t>
  </si>
  <si>
    <t xml:space="preserve">1.5k RMB per month  for 10 months </t>
  </si>
  <si>
    <t>1k RMB per month for 10 months</t>
  </si>
  <si>
    <t xml:space="preserve">CERN test beams ($200 for hotel, $120 for living expense per day, 7 days costs $320*7=$2240; assuming $2000 for flight tickets, total cost $4440 (26.7kRMB), we need 4 person 6 weeks for the test beam for one </t>
  </si>
  <si>
    <t xml:space="preserve">in Switerland : $200 for hotel, $120 for living expense per day, 7 days costs $320*7=$2240; assuming $2000 for flight tickets, total cost $4440 (26.7kRMB), </t>
  </si>
  <si>
    <t>In UK, 125 pounds for hotel, 80 pounds for living expense per day , 7 days costs 205*7=1435 pounds ; assuming $2000 for flight tickets; total cost is 25.5k RMB</t>
  </si>
  <si>
    <t>Other  fee</t>
  </si>
  <si>
    <t xml:space="preserve">Accounting fee </t>
  </si>
  <si>
    <t>Official MOST2 project review meeting for the whole projects (all 3 tasks)</t>
  </si>
  <si>
    <t xml:space="preserve">shipping the prototype to CERN for test beam, and ship it back to China. Since the detector is fragile Each trip costs about 45kRMB. </t>
  </si>
  <si>
    <t>SDU will make at least 9 of MPW testing boards, and distribute to everyone (IHEP gets 3 , NWTU gets 2, NJU gets 2)</t>
  </si>
  <si>
    <t>support each students 1 trips, (12  graduate  students + 15 undergraduate + 5 postdoc)</t>
  </si>
  <si>
    <r>
      <rPr>
        <sz val="11"/>
        <color indexed="8"/>
        <rFont val="Cambria"/>
        <family val="0"/>
      </rPr>
      <t>2.</t>
    </r>
    <r>
      <rPr>
        <sz val="11"/>
        <color indexed="8"/>
        <rFont val="宋体"/>
        <family val="0"/>
      </rPr>
      <t>材料费</t>
    </r>
    <r>
      <rPr>
        <sz val="11"/>
        <color indexed="8"/>
        <rFont val="Cambria"/>
        <family val="0"/>
      </rPr>
      <t xml:space="preserve"> (material fee)</t>
    </r>
  </si>
  <si>
    <t>试制设备费</t>
  </si>
  <si>
    <r>
      <t>1.</t>
    </r>
    <r>
      <rPr>
        <sz val="10"/>
        <color indexed="8"/>
        <rFont val="宋体"/>
        <family val="0"/>
      </rPr>
      <t>购置设备费</t>
    </r>
    <r>
      <rPr>
        <sz val="10"/>
        <color indexed="8"/>
        <rFont val="Cambria"/>
        <family val="0"/>
      </rPr>
      <t xml:space="preserve"> ( device fee)</t>
    </r>
  </si>
  <si>
    <r>
      <rPr>
        <sz val="10"/>
        <color indexed="8"/>
        <rFont val="宋体"/>
        <family val="0"/>
      </rPr>
      <t>直接费</t>
    </r>
    <r>
      <rPr>
        <sz val="10"/>
        <color indexed="8"/>
        <rFont val="Lantinghei SC Heavy"/>
        <family val="0"/>
      </rPr>
      <t>（</t>
    </r>
    <r>
      <rPr>
        <sz val="10"/>
        <color indexed="8"/>
        <rFont val="Cambria"/>
        <family val="0"/>
      </rPr>
      <t>direct fee</t>
    </r>
    <r>
      <rPr>
        <sz val="10"/>
        <color indexed="8"/>
        <rFont val="Lantinghei SC Heavy"/>
        <family val="0"/>
      </rPr>
      <t>）</t>
    </r>
    <r>
      <rPr>
        <sz val="10"/>
        <color indexed="8"/>
        <rFont val="Cambria"/>
        <family val="0"/>
      </rPr>
      <t xml:space="preserve"> </t>
    </r>
  </si>
  <si>
    <t>S</t>
  </si>
  <si>
    <t>NW</t>
  </si>
  <si>
    <t xml:space="preserve">support 4 staff members to one Trips/Workshops/Conferences each year during the 5-year length of the program, total 20 trips </t>
  </si>
  <si>
    <r>
      <rPr>
        <sz val="10"/>
        <color indexed="8"/>
        <rFont val="宋体"/>
        <family val="0"/>
      </rPr>
      <t>总经费</t>
    </r>
    <r>
      <rPr>
        <sz val="10"/>
        <color indexed="8"/>
        <rFont val="Lantinghei SC Heavy"/>
        <family val="0"/>
      </rPr>
      <t>（</t>
    </r>
    <r>
      <rPr>
        <sz val="10"/>
        <color indexed="8"/>
        <rFont val="Cambria"/>
        <family val="0"/>
      </rPr>
      <t>total fee</t>
    </r>
    <r>
      <rPr>
        <sz val="10"/>
        <color indexed="8"/>
        <rFont val="Lantinghei SC Heavy"/>
        <family val="0"/>
      </rPr>
      <t>）</t>
    </r>
  </si>
  <si>
    <r>
      <rPr>
        <b/>
        <sz val="11"/>
        <color indexed="8"/>
        <rFont val="Lantinghei SC Heavy"/>
        <family val="0"/>
      </rPr>
      <t>合计</t>
    </r>
    <r>
      <rPr>
        <b/>
        <sz val="11"/>
        <color indexed="8"/>
        <rFont val="Calibri"/>
        <family val="0"/>
      </rPr>
      <t xml:space="preserve"> </t>
    </r>
    <r>
      <rPr>
        <b/>
        <sz val="11"/>
        <color indexed="8"/>
        <rFont val="Lantinghei SC Heavy"/>
        <family val="0"/>
      </rPr>
      <t>（万</t>
    </r>
    <r>
      <rPr>
        <b/>
        <sz val="11"/>
        <color indexed="8"/>
        <rFont val="Calibri"/>
        <family val="0"/>
      </rPr>
      <t>,10kRMB</t>
    </r>
    <r>
      <rPr>
        <b/>
        <sz val="11"/>
        <color indexed="8"/>
        <rFont val="Lantinghei SC Heavy"/>
        <family val="0"/>
      </rPr>
      <t>）</t>
    </r>
  </si>
  <si>
    <t xml:space="preserve"> power (k watt)</t>
  </si>
  <si>
    <t>power ( k watt)</t>
  </si>
  <si>
    <t>server power consumption/ k watt per hour</t>
  </si>
  <si>
    <t>including 17% tax</t>
  </si>
  <si>
    <t>support 2 staff members to one International Trips/Workshops/Conferences each year during the 5-year length of the program, total 20 trips</t>
  </si>
  <si>
    <t>MOST 2 Task Sharing</t>
  </si>
  <si>
    <t>MOST 1 Task Sharing</t>
  </si>
  <si>
    <t>8 experts in 5 meetings</t>
  </si>
  <si>
    <t>Person Cost/year</t>
  </si>
  <si>
    <t>Cost/per equipment</t>
  </si>
  <si>
    <t>shipping modules for gamma irradiation, heavy ion irradiation</t>
  </si>
  <si>
    <t xml:space="preserve">SEU tests runs </t>
  </si>
  <si>
    <t xml:space="preserve">proton beam test </t>
  </si>
  <si>
    <t>server</t>
  </si>
  <si>
    <t>clean room</t>
  </si>
  <si>
    <t xml:space="preserve">sensor </t>
  </si>
  <si>
    <t>direct fee</t>
  </si>
  <si>
    <t xml:space="preserve">core </t>
  </si>
  <si>
    <t xml:space="preserve">R &amp; D </t>
  </si>
  <si>
    <t>Server</t>
  </si>
  <si>
    <t>Postdocs</t>
  </si>
  <si>
    <t>IHEP</t>
  </si>
  <si>
    <t>Nanjing</t>
  </si>
  <si>
    <t>ASIC</t>
  </si>
  <si>
    <t>number of year</t>
  </si>
  <si>
    <t>cost/year</t>
  </si>
  <si>
    <t xml:space="preserve">number of year </t>
  </si>
  <si>
    <t xml:space="preserve">Cooperation with IFAE on module </t>
  </si>
  <si>
    <t>Cooperation with IFAE on ASIC</t>
  </si>
  <si>
    <t>Sensor testing and testbeam</t>
  </si>
  <si>
    <t xml:space="preserve">cost/each </t>
  </si>
  <si>
    <t>module and sensor</t>
  </si>
  <si>
    <t>Keithley 2410  (with high voltage source)</t>
  </si>
  <si>
    <t>Laser</t>
  </si>
  <si>
    <t>CHF to RMB</t>
  </si>
  <si>
    <t>Cost/half wheel</t>
  </si>
  <si>
    <t xml:space="preserve">bump bonding (core --1/4 wheel) </t>
  </si>
  <si>
    <r>
      <t>LGAD Sensor Engineering  runs  with HPK</t>
    </r>
    <r>
      <rPr>
        <sz val="12"/>
        <color indexed="30"/>
        <rFont val="SimSun"/>
        <family val="0"/>
      </rPr>
      <t>（</t>
    </r>
    <r>
      <rPr>
        <sz val="12"/>
        <color indexed="30"/>
        <rFont val="Cambria"/>
        <family val="0"/>
      </rPr>
      <t>core- half wheel</t>
    </r>
    <r>
      <rPr>
        <sz val="12"/>
        <color indexed="30"/>
        <rFont val="SimSun"/>
        <family val="0"/>
      </rPr>
      <t>）</t>
    </r>
  </si>
  <si>
    <r>
      <t xml:space="preserve">ASIC Engineering  runs </t>
    </r>
    <r>
      <rPr>
        <sz val="12"/>
        <color indexed="30"/>
        <rFont val="SimSun"/>
        <family val="0"/>
      </rPr>
      <t>（</t>
    </r>
    <r>
      <rPr>
        <sz val="12"/>
        <color indexed="30"/>
        <rFont val="Cambria"/>
        <family val="0"/>
      </rPr>
      <t>core--half wheel</t>
    </r>
    <r>
      <rPr>
        <sz val="12"/>
        <color indexed="30"/>
        <rFont val="SimSun"/>
        <family val="0"/>
      </rPr>
      <t>）</t>
    </r>
  </si>
  <si>
    <t xml:space="preserve">percentage included in this project </t>
  </si>
  <si>
    <t>cost/ half wheel</t>
  </si>
  <si>
    <t xml:space="preserve">1k cost for each wire bonding run, 2 RMB per bond X 80 bonds per chip X500 chips per engeering </t>
  </si>
  <si>
    <t xml:space="preserve">LGAD sensor R &amp; D </t>
  </si>
  <si>
    <t xml:space="preserve">bump bonding (R &amp; D) </t>
  </si>
  <si>
    <t xml:space="preserve">sensor probe card </t>
  </si>
  <si>
    <t>FPGA</t>
  </si>
  <si>
    <t xml:space="preserve">Tooling </t>
  </si>
  <si>
    <t xml:space="preserve">install and commissioning   </t>
  </si>
  <si>
    <t xml:space="preserve">support structure for a stave </t>
  </si>
  <si>
    <t>cooling system design fee</t>
  </si>
  <si>
    <t xml:space="preserve">low voltage </t>
  </si>
  <si>
    <t>total</t>
  </si>
  <si>
    <t>sensor tech</t>
  </si>
  <si>
    <t>sensor all</t>
  </si>
  <si>
    <t xml:space="preserve">module </t>
  </si>
  <si>
    <t>R &amp;D</t>
  </si>
  <si>
    <t>Core</t>
  </si>
  <si>
    <t>核心技术</t>
  </si>
  <si>
    <t>人员队伍</t>
  </si>
  <si>
    <t>科学研究</t>
  </si>
  <si>
    <t>总数</t>
  </si>
  <si>
    <t xml:space="preserve">module assembly </t>
  </si>
  <si>
    <t xml:space="preserve">wire bonding </t>
  </si>
  <si>
    <t>flex (core)</t>
  </si>
  <si>
    <t>cooling system fee</t>
  </si>
  <si>
    <t xml:space="preserve">Shipping structures &amp;&amp; enclosure </t>
  </si>
</sst>
</file>

<file path=xl/styles.xml><?xml version="1.0" encoding="utf-8"?>
<styleSheet xmlns="http://schemas.openxmlformats.org/spreadsheetml/2006/main">
  <numFmts count="51">
    <numFmt numFmtId="5" formatCode="&quot;¥&quot;#,##0_);\(&quot;¥&quot;#,##0\)"/>
    <numFmt numFmtId="6" formatCode="&quot;¥&quot;#,##0_);[Red]\(&quot;¥&quot;#,##0\)"/>
    <numFmt numFmtId="7" formatCode="&quot;¥&quot;#,##0.00_);\(&quot;¥&quot;#,##0.00\)"/>
    <numFmt numFmtId="8" formatCode="&quot;¥&quot;#,##0.00_);[Red]\(&quot;¥&quot;#,##0.00\)"/>
    <numFmt numFmtId="42" formatCode="_(&quot;¥&quot;* #,##0_);_(&quot;¥&quot;* \(#,##0\);_(&quot;¥&quot;* &quot;-&quot;_);_(@_)"/>
    <numFmt numFmtId="41" formatCode="_(* #,##0_);_(* \(#,##0\);_(* &quot;-&quot;_);_(@_)"/>
    <numFmt numFmtId="44" formatCode="_(&quot;¥&quot;* #,##0.00_);_(&quot;¥&quot;* \(#,##0.00\);_(&quot;¥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CN¥&quot;#,##0_);\(&quot;CN¥&quot;#,##0\)"/>
    <numFmt numFmtId="177" formatCode="&quot;CN¥&quot;#,##0_);[Red]\(&quot;CN¥&quot;#,##0\)"/>
    <numFmt numFmtId="178" formatCode="&quot;CN¥&quot;#,##0.00_);\(&quot;CN¥&quot;#,##0.00\)"/>
    <numFmt numFmtId="179" formatCode="&quot;CN¥&quot;#,##0.00_);[Red]\(&quot;CN¥&quot;#,##0.00\)"/>
    <numFmt numFmtId="180" formatCode="_(&quot;CN¥&quot;* #,##0_);_(&quot;CN¥&quot;* \(#,##0\);_(&quot;CN¥&quot;* &quot;-&quot;_);_(@_)"/>
    <numFmt numFmtId="181" formatCode="_(&quot;CN¥&quot;* #,##0.00_);_(&quot;CN¥&quot;* \(#,##0.00\);_(&quot;CN¥&quot;* &quot;-&quot;??_);_(@_)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  <numFmt numFmtId="188" formatCode="&quot;¥&quot;#,##0;&quot;¥&quot;\-#,##0"/>
    <numFmt numFmtId="189" formatCode="&quot;¥&quot;#,##0;[Red]&quot;¥&quot;\-#,##0"/>
    <numFmt numFmtId="190" formatCode="&quot;¥&quot;#,##0.00;&quot;¥&quot;\-#,##0.00"/>
    <numFmt numFmtId="191" formatCode="&quot;¥&quot;#,##0.00;[Red]&quot;¥&quot;\-#,##0.00"/>
    <numFmt numFmtId="192" formatCode="_ &quot;¥&quot;* #,##0_ ;_ &quot;¥&quot;* \-#,##0_ ;_ &quot;¥&quot;* &quot;-&quot;_ ;_ @_ "/>
    <numFmt numFmtId="193" formatCode="_ * #,##0_ ;_ * \-#,##0_ ;_ * &quot;-&quot;_ ;_ @_ "/>
    <numFmt numFmtId="194" formatCode="_ &quot;¥&quot;* #,##0.00_ ;_ &quot;¥&quot;* \-#,##0.00_ ;_ &quot;¥&quot;* &quot;-&quot;??_ ;_ @_ "/>
    <numFmt numFmtId="195" formatCode="_ * #,##0.00_ ;_ * \-#,##0.00_ ;_ * &quot;-&quot;??_ ;_ @_ "/>
    <numFmt numFmtId="196" formatCode="_(&quot;$&quot;* #,##0_);_(&quot;$&quot;* \(#,##0\);_(&quot;$&quot;* &quot;-&quot;??_);_(@_)"/>
    <numFmt numFmtId="197" formatCode="_([$¥-804]* #,##0.0_);_([$¥-804]* \(#,##0.0\);_([$¥-804]* &quot;-&quot;?_);_(@_)"/>
    <numFmt numFmtId="198" formatCode="[$¥-804]#,##0.0_);\([$¥-804]#,##0.0\)"/>
    <numFmt numFmtId="199" formatCode="_([$¥-804]* #,##0_);_([$¥-804]* \(#,##0\);_([$¥-804]* &quot;-&quot;_);_(@_)"/>
    <numFmt numFmtId="200" formatCode="_([$¥-804]* #,##0.00_);_([$¥-804]* \(#,##0.00\);_([$¥-804]* &quot;-&quot;??_);_(@_)"/>
    <numFmt numFmtId="201" formatCode="_([$¥-804]* #,##0.000_);_([$¥-804]* \(#,##0.000\);_([$¥-804]* &quot;-&quot;???_);_(@_)"/>
    <numFmt numFmtId="202" formatCode="_([$¥-804]* #,##0.00000_);_([$¥-804]* \(#,##0.00000\);_([$¥-804]* &quot;-&quot;?????_);_(@_)"/>
    <numFmt numFmtId="203" formatCode="_ [$¥-804]* #,##0.0_ ;_ [$¥-804]* \-#,##0.0_ ;_ [$¥-804]* &quot;-&quot;?_ ;_ @_ "/>
    <numFmt numFmtId="204" formatCode="_ [$¥-804]* #,##0.00_ ;_ [$¥-804]* \-#,##0.00_ ;_ [$¥-804]* &quot;-&quot;??_ ;_ @_ "/>
    <numFmt numFmtId="205" formatCode="_ [$¥-804]* #,##0.0000_ ;_ [$¥-804]* \-#,##0.0000_ ;_ [$¥-804]* &quot;-&quot;????_ ;_ @_ "/>
    <numFmt numFmtId="206" formatCode="0_ "/>
    <numFmt numFmtId="207" formatCode="0.0"/>
    <numFmt numFmtId="208" formatCode="0.000"/>
    <numFmt numFmtId="209" formatCode="_ [$¥-804]* #,##0.000_ ;_ [$¥-804]* \-#,##0.000_ ;_ [$¥-804]* &quot;-&quot;????_ ;_ @_ "/>
    <numFmt numFmtId="210" formatCode="_ [$¥-804]* #,##0.00_ ;_ [$¥-804]* \-#,##0.00_ ;_ [$¥-804]* &quot;-&quot;????_ ;_ @_ "/>
    <numFmt numFmtId="211" formatCode="0.0%"/>
    <numFmt numFmtId="212" formatCode="m/d/yyyy"/>
    <numFmt numFmtId="213" formatCode="0.00_ "/>
    <numFmt numFmtId="214" formatCode="_-* #,##0.00\ [$€-484]_-;\-* #,##0.00\ [$€-484]_-;_-* &quot;-&quot;??\ [$€-484]_-;_-@_-"/>
  </numFmts>
  <fonts count="74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sz val="12"/>
      <color indexed="8"/>
      <name val="Cambria"/>
      <family val="0"/>
    </font>
    <font>
      <sz val="10"/>
      <color indexed="8"/>
      <name val="Cambria"/>
      <family val="0"/>
    </font>
    <font>
      <sz val="10"/>
      <color indexed="8"/>
      <name val="宋体"/>
      <family val="0"/>
    </font>
    <font>
      <b/>
      <sz val="12"/>
      <color indexed="8"/>
      <name val="Cambria"/>
      <family val="0"/>
    </font>
    <font>
      <b/>
      <sz val="12"/>
      <color indexed="8"/>
      <name val="Lantinghei SC Heavy"/>
      <family val="0"/>
    </font>
    <font>
      <b/>
      <sz val="11"/>
      <color indexed="8"/>
      <name val="Calibri"/>
      <family val="0"/>
    </font>
    <font>
      <sz val="11"/>
      <color indexed="8"/>
      <name val="Cambria"/>
      <family val="0"/>
    </font>
    <font>
      <sz val="10"/>
      <color indexed="8"/>
      <name val="Lantinghei SC Heavy"/>
      <family val="0"/>
    </font>
    <font>
      <b/>
      <sz val="11"/>
      <color indexed="8"/>
      <name val="Lantinghei SC Heavy"/>
      <family val="0"/>
    </font>
    <font>
      <sz val="6"/>
      <name val="Cambria"/>
      <family val="0"/>
    </font>
    <font>
      <sz val="9"/>
      <name val="宋体"/>
      <family val="0"/>
    </font>
    <font>
      <sz val="12"/>
      <color indexed="30"/>
      <name val="Cambria"/>
      <family val="0"/>
    </font>
    <font>
      <sz val="12"/>
      <color indexed="30"/>
      <name val="SimSun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4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Times New Roman"/>
      <family val="0"/>
    </font>
    <font>
      <b/>
      <sz val="12"/>
      <color indexed="10"/>
      <name val="Cambria"/>
      <family val="0"/>
    </font>
    <font>
      <sz val="11"/>
      <color indexed="8"/>
      <name val="Calibri (Body)"/>
      <family val="0"/>
    </font>
    <font>
      <b/>
      <sz val="11"/>
      <color indexed="10"/>
      <name val="Calibri (Body)"/>
      <family val="0"/>
    </font>
    <font>
      <b/>
      <sz val="11"/>
      <color indexed="8"/>
      <name val="Calibri (Body)"/>
      <family val="0"/>
    </font>
    <font>
      <sz val="8"/>
      <color indexed="8"/>
      <name val="Cambria"/>
      <family val="0"/>
    </font>
    <font>
      <b/>
      <sz val="11"/>
      <color indexed="10"/>
      <name val="宋体"/>
      <family val="0"/>
    </font>
    <font>
      <sz val="12"/>
      <color indexed="10"/>
      <name val="Cambria"/>
      <family val="0"/>
    </font>
    <font>
      <sz val="11"/>
      <color indexed="30"/>
      <name val="Calibri (Body)"/>
      <family val="0"/>
    </font>
    <font>
      <b/>
      <sz val="26"/>
      <color indexed="8"/>
      <name val="Cambria"/>
      <family val="0"/>
    </font>
    <font>
      <sz val="11"/>
      <color theme="0"/>
      <name val="Calibri"/>
      <family val="0"/>
    </font>
    <font>
      <sz val="12"/>
      <color theme="1"/>
      <name val="Cambria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2"/>
      <color theme="1"/>
      <name val="Cambria"/>
      <family val="0"/>
    </font>
    <font>
      <sz val="12"/>
      <color theme="1"/>
      <name val="Times New Roman"/>
      <family val="0"/>
    </font>
    <font>
      <b/>
      <sz val="12"/>
      <color rgb="FFFF0000"/>
      <name val="Cambria"/>
      <family val="0"/>
    </font>
    <font>
      <sz val="10"/>
      <color theme="1"/>
      <name val="Cambria"/>
      <family val="0"/>
    </font>
    <font>
      <sz val="11"/>
      <color theme="1"/>
      <name val="Calibri (Body)"/>
      <family val="0"/>
    </font>
    <font>
      <b/>
      <sz val="11"/>
      <color rgb="FFFF0000"/>
      <name val="Calibri (Body)"/>
      <family val="0"/>
    </font>
    <font>
      <b/>
      <sz val="11"/>
      <color theme="1"/>
      <name val="Calibri (Body)"/>
      <family val="0"/>
    </font>
    <font>
      <sz val="11"/>
      <color theme="1"/>
      <name val="宋体"/>
      <family val="0"/>
    </font>
    <font>
      <sz val="10"/>
      <color theme="1"/>
      <name val="宋体"/>
      <family val="0"/>
    </font>
    <font>
      <sz val="8"/>
      <color theme="1"/>
      <name val="Cambria"/>
      <family val="0"/>
    </font>
    <font>
      <b/>
      <sz val="11"/>
      <color rgb="FFFF0000"/>
      <name val="Calibri"/>
      <family val="0"/>
    </font>
    <font>
      <sz val="12"/>
      <color rgb="FFFF0000"/>
      <name val="Cambria"/>
      <family val="0"/>
    </font>
    <font>
      <sz val="12"/>
      <color rgb="FF0070C0"/>
      <name val="Cambria"/>
      <family val="0"/>
    </font>
    <font>
      <sz val="11"/>
      <color rgb="FF0070C0"/>
      <name val="Calibri (Body)"/>
      <family val="0"/>
    </font>
    <font>
      <b/>
      <sz val="26"/>
      <color theme="1"/>
      <name val="Cambria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187" fontId="43" fillId="0" borderId="0" applyFont="0" applyFill="0" applyBorder="0" applyAlignment="0" applyProtection="0"/>
    <xf numFmtId="0" fontId="43" fillId="0" borderId="0">
      <alignment/>
      <protection/>
    </xf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" applyNumberFormat="0" applyFill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8" fillId="20" borderId="0" applyNumberFormat="0" applyBorder="0" applyAlignment="0" applyProtection="0"/>
    <xf numFmtId="0" fontId="49" fillId="21" borderId="0" applyNumberFormat="0" applyBorder="0" applyAlignment="0" applyProtection="0"/>
    <xf numFmtId="0" fontId="50" fillId="0" borderId="4" applyNumberFormat="0" applyFill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51" fillId="22" borderId="5" applyNumberFormat="0" applyAlignment="0" applyProtection="0"/>
    <xf numFmtId="0" fontId="52" fillId="23" borderId="6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6" fillId="24" borderId="0" applyNumberFormat="0" applyBorder="0" applyAlignment="0" applyProtection="0"/>
    <xf numFmtId="0" fontId="57" fillId="22" borderId="8" applyNumberFormat="0" applyAlignment="0" applyProtection="0"/>
    <xf numFmtId="0" fontId="58" fillId="25" borderId="5" applyNumberFormat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0" fillId="32" borderId="9" applyNumberFormat="0" applyFont="0" applyAlignment="0" applyProtection="0"/>
  </cellStyleXfs>
  <cellXfs count="117">
    <xf numFmtId="0" fontId="0" fillId="0" borderId="0" xfId="0" applyFont="1" applyAlignment="1">
      <alignment vertical="center"/>
    </xf>
    <xf numFmtId="0" fontId="43" fillId="0" borderId="0" xfId="34">
      <alignment/>
      <protection/>
    </xf>
    <xf numFmtId="0" fontId="59" fillId="0" borderId="0" xfId="34" applyFont="1">
      <alignment/>
      <protection/>
    </xf>
    <xf numFmtId="0" fontId="43" fillId="16" borderId="0" xfId="34" applyFill="1">
      <alignment/>
      <protection/>
    </xf>
    <xf numFmtId="0" fontId="59" fillId="16" borderId="0" xfId="34" applyFont="1" applyFill="1">
      <alignment/>
      <protection/>
    </xf>
    <xf numFmtId="196" fontId="59" fillId="16" borderId="0" xfId="33" applyNumberFormat="1" applyFont="1" applyFill="1" applyAlignment="1">
      <alignment/>
    </xf>
    <xf numFmtId="196" fontId="0" fillId="33" borderId="0" xfId="33" applyNumberFormat="1" applyFont="1" applyFill="1" applyAlignment="1">
      <alignment/>
    </xf>
    <xf numFmtId="0" fontId="43" fillId="0" borderId="0" xfId="34" applyAlignment="1">
      <alignment horizontal="center"/>
      <protection/>
    </xf>
    <xf numFmtId="185" fontId="43" fillId="0" borderId="0" xfId="34" applyNumberFormat="1">
      <alignment/>
      <protection/>
    </xf>
    <xf numFmtId="0" fontId="59" fillId="33" borderId="0" xfId="34" applyFont="1" applyFill="1" applyAlignment="1">
      <alignment horizontal="center"/>
      <protection/>
    </xf>
    <xf numFmtId="0" fontId="59" fillId="0" borderId="0" xfId="34" applyFont="1" applyAlignment="1">
      <alignment horizontal="center"/>
      <protection/>
    </xf>
    <xf numFmtId="14" fontId="59" fillId="0" borderId="0" xfId="34" applyNumberFormat="1" applyFont="1" applyAlignment="1">
      <alignment horizontal="center"/>
      <protection/>
    </xf>
    <xf numFmtId="0" fontId="59" fillId="16" borderId="0" xfId="34" applyFont="1" applyFill="1" applyAlignment="1">
      <alignment horizontal="center"/>
      <protection/>
    </xf>
    <xf numFmtId="0" fontId="43" fillId="16" borderId="0" xfId="34" applyFill="1" applyAlignment="1">
      <alignment horizontal="left"/>
      <protection/>
    </xf>
    <xf numFmtId="0" fontId="59" fillId="16" borderId="0" xfId="34" applyFont="1" applyFill="1" applyAlignment="1">
      <alignment/>
      <protection/>
    </xf>
    <xf numFmtId="0" fontId="43" fillId="0" borderId="0" xfId="34" applyFont="1">
      <alignment/>
      <protection/>
    </xf>
    <xf numFmtId="196" fontId="0" fillId="33" borderId="0" xfId="33" applyNumberFormat="1" applyFont="1" applyFill="1" applyAlignment="1">
      <alignment/>
    </xf>
    <xf numFmtId="0" fontId="60" fillId="0" borderId="0" xfId="0" applyFont="1" applyAlignment="1">
      <alignment vertical="center"/>
    </xf>
    <xf numFmtId="14" fontId="59" fillId="0" borderId="0" xfId="34" applyNumberFormat="1" applyFont="1" applyAlignment="1">
      <alignment horizontal="left"/>
      <protection/>
    </xf>
    <xf numFmtId="0" fontId="61" fillId="0" borderId="0" xfId="34" applyFont="1">
      <alignment/>
      <protection/>
    </xf>
    <xf numFmtId="14" fontId="61" fillId="0" borderId="0" xfId="34" applyNumberFormat="1" applyFont="1" applyAlignment="1">
      <alignment horizontal="left"/>
      <protection/>
    </xf>
    <xf numFmtId="0" fontId="61" fillId="16" borderId="0" xfId="34" applyFont="1" applyFill="1">
      <alignment/>
      <protection/>
    </xf>
    <xf numFmtId="0" fontId="62" fillId="0" borderId="0" xfId="0" applyFont="1" applyBorder="1" applyAlignment="1">
      <alignment horizontal="justify" vertical="center" wrapText="1"/>
    </xf>
    <xf numFmtId="0" fontId="62" fillId="0" borderId="0" xfId="0" applyFont="1" applyBorder="1" applyAlignment="1">
      <alignment horizontal="center" vertical="center" wrapText="1"/>
    </xf>
    <xf numFmtId="207" fontId="62" fillId="0" borderId="0" xfId="0" applyNumberFormat="1" applyFont="1" applyBorder="1" applyAlignment="1">
      <alignment horizontal="center" vertical="center" wrapText="1"/>
    </xf>
    <xf numFmtId="197" fontId="63" fillId="0" borderId="0" xfId="33" applyNumberFormat="1" applyFont="1" applyAlignment="1">
      <alignment/>
    </xf>
    <xf numFmtId="197" fontId="64" fillId="0" borderId="0" xfId="33" applyNumberFormat="1" applyFont="1" applyAlignment="1">
      <alignment/>
    </xf>
    <xf numFmtId="37" fontId="63" fillId="0" borderId="0" xfId="33" applyNumberFormat="1" applyFont="1" applyAlignment="1">
      <alignment horizontal="center"/>
    </xf>
    <xf numFmtId="200" fontId="64" fillId="0" borderId="0" xfId="33" applyNumberFormat="1" applyFont="1" applyAlignment="1">
      <alignment/>
    </xf>
    <xf numFmtId="200" fontId="63" fillId="0" borderId="0" xfId="33" applyNumberFormat="1" applyFont="1" applyAlignment="1">
      <alignment/>
    </xf>
    <xf numFmtId="200" fontId="65" fillId="0" borderId="0" xfId="33" applyNumberFormat="1" applyFont="1" applyAlignment="1">
      <alignment/>
    </xf>
    <xf numFmtId="37" fontId="65" fillId="0" borderId="0" xfId="33" applyNumberFormat="1" applyFont="1" applyAlignment="1">
      <alignment horizontal="center"/>
    </xf>
    <xf numFmtId="197" fontId="65" fillId="0" borderId="0" xfId="33" applyNumberFormat="1" applyFont="1" applyAlignment="1">
      <alignment/>
    </xf>
    <xf numFmtId="37" fontId="63" fillId="0" borderId="0" xfId="33" applyNumberFormat="1" applyFont="1" applyAlignment="1">
      <alignment horizontal="right"/>
    </xf>
    <xf numFmtId="0" fontId="63" fillId="0" borderId="0" xfId="34" applyFont="1" applyAlignment="1">
      <alignment horizontal="center"/>
      <protection/>
    </xf>
    <xf numFmtId="204" fontId="64" fillId="0" borderId="0" xfId="33" applyNumberFormat="1" applyFont="1" applyAlignment="1">
      <alignment/>
    </xf>
    <xf numFmtId="0" fontId="63" fillId="0" borderId="0" xfId="34" applyFont="1">
      <alignment/>
      <protection/>
    </xf>
    <xf numFmtId="0" fontId="65" fillId="0" borderId="0" xfId="34" applyFont="1">
      <alignment/>
      <protection/>
    </xf>
    <xf numFmtId="203" fontId="64" fillId="0" borderId="0" xfId="34" applyNumberFormat="1" applyFont="1">
      <alignment/>
      <protection/>
    </xf>
    <xf numFmtId="203" fontId="63" fillId="0" borderId="0" xfId="34" applyNumberFormat="1" applyFont="1">
      <alignment/>
      <protection/>
    </xf>
    <xf numFmtId="204" fontId="63" fillId="0" borderId="0" xfId="34" applyNumberFormat="1" applyFont="1">
      <alignment/>
      <protection/>
    </xf>
    <xf numFmtId="204" fontId="65" fillId="0" borderId="0" xfId="34" applyNumberFormat="1" applyFont="1">
      <alignment/>
      <protection/>
    </xf>
    <xf numFmtId="197" fontId="65" fillId="16" borderId="0" xfId="33" applyNumberFormat="1" applyFont="1" applyFill="1" applyAlignment="1">
      <alignment/>
    </xf>
    <xf numFmtId="0" fontId="65" fillId="0" borderId="0" xfId="34" applyFont="1" applyAlignment="1">
      <alignment horizontal="center"/>
      <protection/>
    </xf>
    <xf numFmtId="196" fontId="0" fillId="33" borderId="0" xfId="33" applyNumberFormat="1" applyFont="1" applyFill="1" applyAlignment="1">
      <alignment/>
    </xf>
    <xf numFmtId="0" fontId="59" fillId="16" borderId="0" xfId="34" applyFont="1" applyFill="1" applyAlignment="1">
      <alignment horizontal="left"/>
      <protection/>
    </xf>
    <xf numFmtId="204" fontId="64" fillId="16" borderId="0" xfId="33" applyNumberFormat="1" applyFont="1" applyFill="1" applyAlignment="1">
      <alignment/>
    </xf>
    <xf numFmtId="0" fontId="43" fillId="16" borderId="0" xfId="34" applyFill="1" applyAlignment="1">
      <alignment horizontal="center" vertical="center"/>
      <protection/>
    </xf>
    <xf numFmtId="0" fontId="43" fillId="0" borderId="0" xfId="34" applyAlignment="1">
      <alignment horizontal="center" vertical="center"/>
      <protection/>
    </xf>
    <xf numFmtId="14" fontId="59" fillId="0" borderId="0" xfId="34" applyNumberFormat="1" applyFont="1" applyAlignment="1">
      <alignment horizontal="center" vertical="center"/>
      <protection/>
    </xf>
    <xf numFmtId="197" fontId="63" fillId="0" borderId="0" xfId="33" applyNumberFormat="1" applyFont="1" applyAlignment="1">
      <alignment horizontal="center" vertical="center"/>
    </xf>
    <xf numFmtId="0" fontId="63" fillId="0" borderId="0" xfId="34" applyFont="1" applyAlignment="1">
      <alignment horizontal="center" vertical="center"/>
      <protection/>
    </xf>
    <xf numFmtId="14" fontId="65" fillId="0" borderId="0" xfId="34" applyNumberFormat="1" applyFont="1" applyAlignment="1">
      <alignment horizontal="center" vertical="center"/>
      <protection/>
    </xf>
    <xf numFmtId="204" fontId="63" fillId="0" borderId="0" xfId="34" applyNumberFormat="1" applyFont="1" applyAlignment="1">
      <alignment horizontal="center" vertical="center"/>
      <protection/>
    </xf>
    <xf numFmtId="197" fontId="65" fillId="16" borderId="0" xfId="33" applyNumberFormat="1" applyFont="1" applyFill="1" applyAlignment="1">
      <alignment horizontal="center" vertical="center"/>
    </xf>
    <xf numFmtId="196" fontId="0" fillId="33" borderId="0" xfId="33" applyNumberFormat="1" applyFont="1" applyFill="1" applyAlignment="1">
      <alignment/>
    </xf>
    <xf numFmtId="187" fontId="63" fillId="0" borderId="0" xfId="34" applyNumberFormat="1" applyFont="1">
      <alignment/>
      <protection/>
    </xf>
    <xf numFmtId="0" fontId="59" fillId="16" borderId="0" xfId="34" applyFont="1" applyFill="1" applyAlignment="1">
      <alignment horizontal="center"/>
      <protection/>
    </xf>
    <xf numFmtId="196" fontId="0" fillId="33" borderId="0" xfId="33" applyNumberFormat="1" applyFont="1" applyFill="1" applyAlignment="1">
      <alignment/>
    </xf>
    <xf numFmtId="197" fontId="65" fillId="0" borderId="0" xfId="33" applyNumberFormat="1" applyFont="1" applyAlignment="1">
      <alignment horizontal="center" vertical="center"/>
    </xf>
    <xf numFmtId="200" fontId="63" fillId="0" borderId="0" xfId="33" applyNumberFormat="1" applyFont="1" applyAlignment="1">
      <alignment horizontal="right" vertical="center"/>
    </xf>
    <xf numFmtId="200" fontId="63" fillId="0" borderId="0" xfId="34" applyNumberFormat="1" applyFont="1" applyAlignment="1">
      <alignment horizontal="right" vertical="center"/>
      <protection/>
    </xf>
    <xf numFmtId="200" fontId="63" fillId="0" borderId="0" xfId="44" applyNumberFormat="1" applyFont="1" applyAlignment="1">
      <alignment horizontal="right" vertical="center"/>
    </xf>
    <xf numFmtId="200" fontId="63" fillId="0" borderId="0" xfId="44" applyNumberFormat="1" applyFont="1" applyAlignment="1">
      <alignment horizontal="right"/>
    </xf>
    <xf numFmtId="0" fontId="43" fillId="0" borderId="0" xfId="34" applyAlignment="1">
      <alignment shrinkToFit="1"/>
      <protection/>
    </xf>
    <xf numFmtId="0" fontId="61" fillId="0" borderId="0" xfId="34" applyNumberFormat="1" applyFont="1" applyAlignment="1">
      <alignment horizontal="left"/>
      <protection/>
    </xf>
    <xf numFmtId="196" fontId="0" fillId="33" borderId="0" xfId="33" applyNumberFormat="1" applyFont="1" applyFill="1" applyAlignment="1">
      <alignment/>
    </xf>
    <xf numFmtId="0" fontId="43" fillId="0" borderId="0" xfId="35" applyNumberFormat="1" applyFont="1" applyAlignment="1">
      <alignment/>
    </xf>
    <xf numFmtId="0" fontId="43" fillId="0" borderId="0" xfId="34" applyNumberFormat="1" applyFont="1">
      <alignment/>
      <protection/>
    </xf>
    <xf numFmtId="210" fontId="63" fillId="0" borderId="0" xfId="33" applyNumberFormat="1" applyFont="1" applyAlignment="1">
      <alignment/>
    </xf>
    <xf numFmtId="0" fontId="62" fillId="0" borderId="0" xfId="0" applyFont="1" applyBorder="1" applyAlignment="1">
      <alignment vertical="center"/>
    </xf>
    <xf numFmtId="0" fontId="66" fillId="0" borderId="0" xfId="0" applyFont="1" applyBorder="1" applyAlignment="1">
      <alignment horizontal="left" vertical="center"/>
    </xf>
    <xf numFmtId="0" fontId="67" fillId="0" borderId="0" xfId="0" applyFont="1" applyBorder="1" applyAlignment="1">
      <alignment horizontal="justify" vertical="center" wrapText="1"/>
    </xf>
    <xf numFmtId="49" fontId="50" fillId="0" borderId="0" xfId="0" applyNumberFormat="1" applyFont="1" applyAlignment="1">
      <alignment horizontal="center" vertical="center" wrapText="1"/>
    </xf>
    <xf numFmtId="211" fontId="62" fillId="0" borderId="0" xfId="0" applyNumberFormat="1" applyFont="1" applyBorder="1" applyAlignment="1">
      <alignment vertical="center"/>
    </xf>
    <xf numFmtId="196" fontId="0" fillId="33" borderId="0" xfId="33" applyNumberFormat="1" applyFont="1" applyFill="1" applyAlignment="1">
      <alignment/>
    </xf>
    <xf numFmtId="37" fontId="63" fillId="0" borderId="0" xfId="34" applyNumberFormat="1" applyFont="1" applyAlignment="1">
      <alignment horizontal="center"/>
      <protection/>
    </xf>
    <xf numFmtId="196" fontId="0" fillId="33" borderId="0" xfId="33" applyNumberFormat="1" applyFont="1" applyFill="1" applyAlignment="1">
      <alignment/>
    </xf>
    <xf numFmtId="211" fontId="62" fillId="0" borderId="0" xfId="35" applyNumberFormat="1" applyFont="1" applyBorder="1" applyAlignment="1">
      <alignment horizontal="center" vertical="center"/>
    </xf>
    <xf numFmtId="211" fontId="62" fillId="0" borderId="0" xfId="35" applyNumberFormat="1" applyFont="1" applyBorder="1" applyAlignment="1">
      <alignment horizontal="center" vertical="center" wrapText="1"/>
    </xf>
    <xf numFmtId="211" fontId="66" fillId="0" borderId="0" xfId="35" applyNumberFormat="1" applyFont="1" applyBorder="1" applyAlignment="1">
      <alignment horizontal="center" vertical="center"/>
    </xf>
    <xf numFmtId="211" fontId="62" fillId="0" borderId="0" xfId="35" applyNumberFormat="1" applyFont="1" applyBorder="1" applyAlignment="1">
      <alignment horizontal="center" vertical="center" wrapText="1"/>
    </xf>
    <xf numFmtId="9" fontId="12" fillId="0" borderId="0" xfId="34" applyNumberFormat="1" applyFont="1">
      <alignment/>
      <protection/>
    </xf>
    <xf numFmtId="204" fontId="43" fillId="0" borderId="0" xfId="34" applyNumberFormat="1">
      <alignment/>
      <protection/>
    </xf>
    <xf numFmtId="196" fontId="0" fillId="33" borderId="0" xfId="33" applyNumberFormat="1" applyFont="1" applyFill="1" applyAlignment="1">
      <alignment/>
    </xf>
    <xf numFmtId="0" fontId="68" fillId="0" borderId="0" xfId="34" applyFont="1">
      <alignment/>
      <protection/>
    </xf>
    <xf numFmtId="0" fontId="68" fillId="0" borderId="0" xfId="34" applyNumberFormat="1" applyFont="1">
      <alignment/>
      <protection/>
    </xf>
    <xf numFmtId="2" fontId="69" fillId="0" borderId="0" xfId="0" applyNumberFormat="1" applyFont="1" applyAlignment="1">
      <alignment horizontal="center" vertical="center"/>
    </xf>
    <xf numFmtId="197" fontId="63" fillId="0" borderId="0" xfId="34" applyNumberFormat="1" applyFont="1">
      <alignment/>
      <protection/>
    </xf>
    <xf numFmtId="200" fontId="70" fillId="0" borderId="0" xfId="34" applyNumberFormat="1" applyFont="1">
      <alignment/>
      <protection/>
    </xf>
    <xf numFmtId="210" fontId="70" fillId="0" borderId="0" xfId="34" applyNumberFormat="1" applyFont="1">
      <alignment/>
      <protection/>
    </xf>
    <xf numFmtId="2" fontId="0" fillId="0" borderId="0" xfId="0" applyNumberFormat="1" applyAlignment="1">
      <alignment vertical="center"/>
    </xf>
    <xf numFmtId="0" fontId="63" fillId="0" borderId="0" xfId="33" applyNumberFormat="1" applyFont="1" applyAlignment="1">
      <alignment/>
    </xf>
    <xf numFmtId="0" fontId="43" fillId="0" borderId="0" xfId="34" applyFont="1">
      <alignment/>
      <protection/>
    </xf>
    <xf numFmtId="214" fontId="63" fillId="0" borderId="0" xfId="44" applyNumberFormat="1" applyFont="1" applyAlignment="1">
      <alignment horizontal="right" vertical="center"/>
    </xf>
    <xf numFmtId="0" fontId="71" fillId="0" borderId="0" xfId="34" applyFont="1">
      <alignment/>
      <protection/>
    </xf>
    <xf numFmtId="0" fontId="71" fillId="0" borderId="0" xfId="34" applyFont="1" applyAlignment="1">
      <alignment horizontal="center"/>
      <protection/>
    </xf>
    <xf numFmtId="0" fontId="72" fillId="0" borderId="0" xfId="34" applyFont="1" applyAlignment="1">
      <alignment horizontal="center"/>
      <protection/>
    </xf>
    <xf numFmtId="214" fontId="72" fillId="0" borderId="0" xfId="44" applyNumberFormat="1" applyFont="1" applyAlignment="1">
      <alignment horizontal="right" vertical="center"/>
    </xf>
    <xf numFmtId="0" fontId="72" fillId="0" borderId="0" xfId="34" applyFont="1">
      <alignment/>
      <protection/>
    </xf>
    <xf numFmtId="203" fontId="72" fillId="0" borderId="0" xfId="34" applyNumberFormat="1" applyFont="1">
      <alignment/>
      <protection/>
    </xf>
    <xf numFmtId="200" fontId="72" fillId="0" borderId="0" xfId="44" applyNumberFormat="1" applyFont="1" applyAlignment="1">
      <alignment horizontal="right" vertical="center"/>
    </xf>
    <xf numFmtId="9" fontId="71" fillId="0" borderId="0" xfId="34" applyNumberFormat="1" applyFont="1" applyAlignment="1">
      <alignment horizontal="center"/>
      <protection/>
    </xf>
    <xf numFmtId="196" fontId="0" fillId="33" borderId="0" xfId="33" applyNumberFormat="1" applyFont="1" applyFill="1" applyAlignment="1">
      <alignment/>
    </xf>
    <xf numFmtId="0" fontId="43" fillId="0" borderId="0" xfId="34" applyFont="1" applyAlignment="1">
      <alignment shrinkToFit="1"/>
      <protection/>
    </xf>
    <xf numFmtId="0" fontId="54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43" fillId="0" borderId="0" xfId="34" applyFont="1">
      <alignment/>
      <protection/>
    </xf>
    <xf numFmtId="200" fontId="70" fillId="0" borderId="0" xfId="34" applyNumberFormat="1" applyFont="1">
      <alignment/>
      <protection/>
    </xf>
    <xf numFmtId="203" fontId="43" fillId="0" borderId="0" xfId="34" applyNumberFormat="1">
      <alignment/>
      <protection/>
    </xf>
    <xf numFmtId="204" fontId="70" fillId="0" borderId="0" xfId="34" applyNumberFormat="1" applyFont="1">
      <alignment/>
      <protection/>
    </xf>
    <xf numFmtId="197" fontId="43" fillId="0" borderId="0" xfId="34" applyNumberFormat="1">
      <alignment/>
      <protection/>
    </xf>
    <xf numFmtId="0" fontId="71" fillId="0" borderId="0" xfId="34" applyFont="1">
      <alignment/>
      <protection/>
    </xf>
    <xf numFmtId="204" fontId="43" fillId="0" borderId="0" xfId="34" applyNumberFormat="1" applyFont="1">
      <alignment/>
      <protection/>
    </xf>
    <xf numFmtId="9" fontId="71" fillId="0" borderId="0" xfId="34" applyNumberFormat="1" applyFont="1" applyAlignment="1">
      <alignment horizontal="center"/>
      <protection/>
    </xf>
    <xf numFmtId="0" fontId="59" fillId="16" borderId="0" xfId="34" applyFont="1" applyFill="1" applyAlignment="1">
      <alignment horizontal="center"/>
      <protection/>
    </xf>
    <xf numFmtId="0" fontId="73" fillId="16" borderId="0" xfId="34" applyFont="1" applyFill="1" applyAlignment="1">
      <alignment horizontal="right"/>
      <protection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Currency 2" xfId="33"/>
    <cellStyle name="Normal 2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O121"/>
  <sheetViews>
    <sheetView tabSelected="1" zoomScale="150" zoomScaleNormal="150" zoomScalePageLayoutView="0" workbookViewId="0" topLeftCell="A1">
      <selection activeCell="G31" sqref="G31"/>
    </sheetView>
  </sheetViews>
  <sheetFormatPr defaultColWidth="75.28125" defaultRowHeight="15"/>
  <cols>
    <col min="1" max="1" width="7.421875" style="1" customWidth="1"/>
    <col min="2" max="2" width="4.140625" style="1" customWidth="1"/>
    <col min="3" max="3" width="55.7109375" style="1" customWidth="1"/>
    <col min="4" max="4" width="5.8515625" style="1" customWidth="1"/>
    <col min="5" max="5" width="3.140625" style="1" customWidth="1"/>
    <col min="6" max="6" width="3.7109375" style="1" customWidth="1"/>
    <col min="7" max="7" width="8.7109375" style="1" customWidth="1"/>
    <col min="8" max="8" width="13.00390625" style="1" customWidth="1"/>
    <col min="9" max="9" width="13.28125" style="48" customWidth="1"/>
    <col min="10" max="10" width="26.140625" style="1" customWidth="1"/>
    <col min="11" max="11" width="34.00390625" style="1" customWidth="1"/>
    <col min="12" max="12" width="49.00390625" style="1" bestFit="1" customWidth="1"/>
    <col min="13" max="13" width="54.8515625" style="1" customWidth="1"/>
    <col min="14" max="15" width="75.28125" style="1" customWidth="1"/>
    <col min="16" max="16" width="89.140625" style="1" bestFit="1" customWidth="1"/>
    <col min="17" max="16384" width="75.28125" style="1" customWidth="1"/>
  </cols>
  <sheetData>
    <row r="1" spans="1:13" ht="15" customHeight="1">
      <c r="A1" s="4" t="s">
        <v>9</v>
      </c>
      <c r="B1" s="4"/>
      <c r="C1" s="3"/>
      <c r="D1" s="3"/>
      <c r="E1" s="3"/>
      <c r="F1" s="3"/>
      <c r="G1" s="3"/>
      <c r="H1" s="3"/>
      <c r="I1" s="47"/>
      <c r="J1" s="3"/>
      <c r="K1" s="3"/>
      <c r="L1" s="116" t="s">
        <v>8</v>
      </c>
      <c r="M1" s="116"/>
    </row>
    <row r="2" spans="1:13" ht="15" customHeight="1">
      <c r="A2" s="4" t="s">
        <v>52</v>
      </c>
      <c r="B2" s="4"/>
      <c r="C2" s="3"/>
      <c r="D2" s="3"/>
      <c r="E2" s="3"/>
      <c r="F2" s="3"/>
      <c r="G2" s="3"/>
      <c r="H2" s="3"/>
      <c r="I2" s="47"/>
      <c r="J2" s="3"/>
      <c r="K2" s="3"/>
      <c r="L2" s="116"/>
      <c r="M2" s="116"/>
    </row>
    <row r="3" spans="1:13" ht="15.75">
      <c r="A3" s="4" t="s">
        <v>53</v>
      </c>
      <c r="B3" s="4"/>
      <c r="C3" s="3"/>
      <c r="D3" s="3"/>
      <c r="E3" s="3"/>
      <c r="F3" s="3"/>
      <c r="G3" s="3"/>
      <c r="H3" s="3"/>
      <c r="I3" s="47"/>
      <c r="J3" s="3"/>
      <c r="K3" s="3"/>
      <c r="L3" s="3"/>
      <c r="M3" s="3"/>
    </row>
    <row r="4" spans="1:13" ht="15.75">
      <c r="A4" s="4" t="s">
        <v>7</v>
      </c>
      <c r="B4" s="4"/>
      <c r="C4" s="3"/>
      <c r="D4" s="3"/>
      <c r="E4" s="3"/>
      <c r="F4" s="3"/>
      <c r="G4" s="3"/>
      <c r="H4" s="3"/>
      <c r="I4" s="47"/>
      <c r="J4" s="3"/>
      <c r="K4" s="3"/>
      <c r="L4" s="3"/>
      <c r="M4" s="3"/>
    </row>
    <row r="5" spans="1:13" ht="15.75">
      <c r="A5" s="4" t="s">
        <v>6</v>
      </c>
      <c r="B5" s="4"/>
      <c r="C5" s="3"/>
      <c r="D5" s="3"/>
      <c r="E5" s="3"/>
      <c r="F5" s="3"/>
      <c r="G5" s="3"/>
      <c r="H5" s="3"/>
      <c r="I5" s="47"/>
      <c r="J5" s="3"/>
      <c r="K5" s="3"/>
      <c r="L5" s="3"/>
      <c r="M5" s="3"/>
    </row>
    <row r="6" spans="1:13" ht="15.75">
      <c r="A6" s="4" t="s">
        <v>5</v>
      </c>
      <c r="B6" s="4"/>
      <c r="C6" s="13"/>
      <c r="D6" s="13"/>
      <c r="E6" s="13"/>
      <c r="F6" s="13"/>
      <c r="G6" s="13"/>
      <c r="H6" s="3"/>
      <c r="I6" s="47"/>
      <c r="J6" s="115"/>
      <c r="K6" s="115"/>
      <c r="L6" s="115"/>
      <c r="M6" s="115"/>
    </row>
    <row r="7" spans="1:13" ht="15.75">
      <c r="A7" s="14" t="s">
        <v>4</v>
      </c>
      <c r="B7" s="14"/>
      <c r="L7" s="3"/>
      <c r="M7" s="4"/>
    </row>
    <row r="8" ht="15.75">
      <c r="O8" s="8"/>
    </row>
    <row r="9" spans="1:15" ht="16.5">
      <c r="A9" s="4" t="s">
        <v>3</v>
      </c>
      <c r="B9" s="4"/>
      <c r="C9" s="12" t="s">
        <v>2</v>
      </c>
      <c r="D9" s="57"/>
      <c r="E9" s="57"/>
      <c r="F9" s="57"/>
      <c r="G9" s="57"/>
      <c r="H9" s="115" t="s">
        <v>0</v>
      </c>
      <c r="I9" s="115"/>
      <c r="J9" s="115"/>
      <c r="K9" s="45" t="s">
        <v>60</v>
      </c>
      <c r="L9" s="3"/>
      <c r="O9" s="8"/>
    </row>
    <row r="10" spans="1:15" ht="15.75">
      <c r="A10" s="10"/>
      <c r="B10" s="10"/>
      <c r="C10" s="10"/>
      <c r="D10" s="10" t="s">
        <v>111</v>
      </c>
      <c r="E10" s="10" t="s">
        <v>85</v>
      </c>
      <c r="F10" s="10" t="s">
        <v>86</v>
      </c>
      <c r="G10" s="10" t="s">
        <v>112</v>
      </c>
      <c r="H10" s="11" t="s">
        <v>13</v>
      </c>
      <c r="I10" s="49" t="s">
        <v>98</v>
      </c>
      <c r="J10" s="11" t="s">
        <v>18</v>
      </c>
      <c r="K10" s="11" t="s">
        <v>16</v>
      </c>
      <c r="L10" s="9"/>
      <c r="O10" s="8"/>
    </row>
    <row r="11" spans="1:12" ht="15.75">
      <c r="A11" s="10">
        <v>1</v>
      </c>
      <c r="B11" s="7"/>
      <c r="C11" s="19" t="s">
        <v>11</v>
      </c>
      <c r="D11" s="19"/>
      <c r="E11" s="19"/>
      <c r="F11" s="19"/>
      <c r="G11" s="19"/>
      <c r="H11" s="25"/>
      <c r="I11" s="50"/>
      <c r="J11" s="36"/>
      <c r="K11" s="26">
        <f>SUM(J12:J15)*5</f>
        <v>385</v>
      </c>
      <c r="L11" s="6"/>
    </row>
    <row r="12" spans="1:12" ht="15.75">
      <c r="A12" s="10"/>
      <c r="B12" s="7"/>
      <c r="C12" s="15" t="s">
        <v>110</v>
      </c>
      <c r="D12" s="15">
        <v>4</v>
      </c>
      <c r="E12" s="15">
        <v>0</v>
      </c>
      <c r="F12" s="15">
        <v>0</v>
      </c>
      <c r="G12" s="15">
        <v>1</v>
      </c>
      <c r="H12" s="27">
        <f>SUM(D12:G12)</f>
        <v>5</v>
      </c>
      <c r="I12" s="62">
        <v>10</v>
      </c>
      <c r="J12" s="25">
        <f>H12*I12</f>
        <v>50</v>
      </c>
      <c r="K12" s="25"/>
      <c r="L12" s="58" t="s">
        <v>69</v>
      </c>
    </row>
    <row r="13" spans="1:12" ht="15.75">
      <c r="A13" s="10"/>
      <c r="B13" s="7"/>
      <c r="C13" s="15" t="s">
        <v>14</v>
      </c>
      <c r="D13" s="15">
        <v>6</v>
      </c>
      <c r="E13" s="15">
        <v>0</v>
      </c>
      <c r="F13" s="15">
        <v>0</v>
      </c>
      <c r="G13" s="15">
        <v>3</v>
      </c>
      <c r="H13" s="27">
        <f>SUM(D13:G13)</f>
        <v>9</v>
      </c>
      <c r="I13" s="62">
        <v>3</v>
      </c>
      <c r="J13" s="25">
        <f>H13*I13</f>
        <v>27</v>
      </c>
      <c r="K13" s="25"/>
      <c r="L13" s="58" t="s">
        <v>70</v>
      </c>
    </row>
    <row r="14" spans="1:12" ht="15.75">
      <c r="A14" s="10"/>
      <c r="B14" s="7"/>
      <c r="C14" s="15"/>
      <c r="D14" s="15">
        <v>0</v>
      </c>
      <c r="E14" s="15">
        <v>0</v>
      </c>
      <c r="F14" s="15">
        <v>0</v>
      </c>
      <c r="G14" s="15">
        <v>0</v>
      </c>
      <c r="H14" s="27">
        <f>SUM(D14:G14)</f>
        <v>0</v>
      </c>
      <c r="I14" s="62">
        <v>0</v>
      </c>
      <c r="J14" s="25">
        <f>H14*I14</f>
        <v>0</v>
      </c>
      <c r="K14" s="25"/>
      <c r="L14" s="58" t="s">
        <v>71</v>
      </c>
    </row>
    <row r="15" spans="1:12" ht="15.75">
      <c r="A15" s="10"/>
      <c r="B15" s="7"/>
      <c r="C15" s="15"/>
      <c r="D15" s="15">
        <v>0</v>
      </c>
      <c r="E15" s="15">
        <v>0</v>
      </c>
      <c r="F15" s="15">
        <v>0</v>
      </c>
      <c r="G15" s="15">
        <v>0</v>
      </c>
      <c r="H15" s="27">
        <f>SUM(D15:G15)</f>
        <v>0</v>
      </c>
      <c r="I15" s="62">
        <v>0</v>
      </c>
      <c r="J15" s="25">
        <f>H15*I15</f>
        <v>0</v>
      </c>
      <c r="K15" s="25"/>
      <c r="L15" s="58" t="s">
        <v>68</v>
      </c>
    </row>
    <row r="16" spans="1:12" ht="15.75">
      <c r="A16" s="10"/>
      <c r="B16" s="7"/>
      <c r="C16" s="15"/>
      <c r="D16" s="15"/>
      <c r="E16" s="15"/>
      <c r="F16" s="15"/>
      <c r="G16" s="15"/>
      <c r="H16" s="27"/>
      <c r="I16" s="51"/>
      <c r="J16" s="25"/>
      <c r="K16" s="25"/>
      <c r="L16" s="6"/>
    </row>
    <row r="17" spans="1:12" ht="15.75">
      <c r="A17" s="10">
        <v>3.6</v>
      </c>
      <c r="B17" s="7"/>
      <c r="C17" s="19" t="s">
        <v>12</v>
      </c>
      <c r="D17" s="19"/>
      <c r="E17" s="19"/>
      <c r="F17" s="19"/>
      <c r="G17" s="19"/>
      <c r="H17" s="36"/>
      <c r="I17" s="52" t="s">
        <v>15</v>
      </c>
      <c r="J17" s="36"/>
      <c r="K17" s="28">
        <f>J18+J19</f>
        <v>0</v>
      </c>
      <c r="L17" s="6"/>
    </row>
    <row r="18" spans="1:12" ht="15.75">
      <c r="A18" s="10"/>
      <c r="B18" s="7"/>
      <c r="C18" s="15" t="s">
        <v>17</v>
      </c>
      <c r="D18" s="15">
        <v>0</v>
      </c>
      <c r="E18" s="15">
        <v>0</v>
      </c>
      <c r="F18" s="15">
        <v>0</v>
      </c>
      <c r="G18" s="15">
        <v>0</v>
      </c>
      <c r="H18" s="27">
        <f>SUM(D18:G18)</f>
        <v>0</v>
      </c>
      <c r="I18" s="62">
        <v>0.5</v>
      </c>
      <c r="J18" s="29">
        <f>H18*I18</f>
        <v>0</v>
      </c>
      <c r="K18" s="30"/>
      <c r="L18" s="66" t="s">
        <v>87</v>
      </c>
    </row>
    <row r="19" spans="1:12" ht="15.75">
      <c r="A19" s="10"/>
      <c r="B19" s="7"/>
      <c r="C19" s="15" t="s">
        <v>19</v>
      </c>
      <c r="D19" s="15">
        <v>0</v>
      </c>
      <c r="E19" s="15">
        <v>0</v>
      </c>
      <c r="F19" s="15">
        <v>0</v>
      </c>
      <c r="G19" s="15">
        <v>0</v>
      </c>
      <c r="H19" s="27">
        <f>SUM(D19:G19)</f>
        <v>0</v>
      </c>
      <c r="I19" s="62">
        <v>0.25</v>
      </c>
      <c r="J19" s="29">
        <f>H19*I19</f>
        <v>0</v>
      </c>
      <c r="K19" s="29"/>
      <c r="L19" s="58" t="s">
        <v>80</v>
      </c>
    </row>
    <row r="20" spans="1:12" ht="15.75">
      <c r="A20" s="10">
        <v>5.1</v>
      </c>
      <c r="B20" s="7"/>
      <c r="C20" s="19" t="s">
        <v>10</v>
      </c>
      <c r="D20" s="19"/>
      <c r="E20" s="19"/>
      <c r="F20" s="19"/>
      <c r="G20" s="19"/>
      <c r="H20" s="27"/>
      <c r="I20" s="52" t="s">
        <v>115</v>
      </c>
      <c r="J20" s="36" t="s">
        <v>116</v>
      </c>
      <c r="K20" s="26">
        <f>SUM(K21:K25)</f>
        <v>198</v>
      </c>
      <c r="L20" s="6"/>
    </row>
    <row r="21" spans="1:12" ht="15.75">
      <c r="A21" s="10"/>
      <c r="B21" s="7"/>
      <c r="C21" s="15" t="s">
        <v>119</v>
      </c>
      <c r="D21" s="15">
        <v>1</v>
      </c>
      <c r="E21" s="15">
        <v>0</v>
      </c>
      <c r="F21" s="15">
        <v>0</v>
      </c>
      <c r="G21" s="15">
        <v>0</v>
      </c>
      <c r="H21" s="27">
        <f>SUM(D21:G21)</f>
        <v>1</v>
      </c>
      <c r="I21" s="62">
        <v>18</v>
      </c>
      <c r="J21" s="92">
        <v>3</v>
      </c>
      <c r="K21" s="25">
        <f>H21*I21*J21</f>
        <v>54</v>
      </c>
      <c r="L21" s="77" t="s">
        <v>94</v>
      </c>
    </row>
    <row r="22" spans="1:12" ht="15.75">
      <c r="A22" s="10"/>
      <c r="B22" s="7"/>
      <c r="C22" s="15" t="s">
        <v>118</v>
      </c>
      <c r="D22" s="67">
        <v>1</v>
      </c>
      <c r="E22" s="67">
        <v>0</v>
      </c>
      <c r="F22" s="67">
        <v>0</v>
      </c>
      <c r="G22" s="67">
        <v>1</v>
      </c>
      <c r="H22" s="27">
        <f>SUM(D22:G22)</f>
        <v>2</v>
      </c>
      <c r="I22" s="62">
        <v>18</v>
      </c>
      <c r="J22" s="25">
        <v>2</v>
      </c>
      <c r="K22" s="25">
        <f>H22*I22*J22</f>
        <v>72</v>
      </c>
      <c r="L22" s="16" t="s">
        <v>36</v>
      </c>
    </row>
    <row r="23" spans="1:12" ht="15.75">
      <c r="A23" s="10"/>
      <c r="B23" s="7"/>
      <c r="C23" s="1" t="s">
        <v>117</v>
      </c>
      <c r="D23" s="68">
        <v>1</v>
      </c>
      <c r="E23" s="68">
        <v>0</v>
      </c>
      <c r="F23" s="68">
        <v>0</v>
      </c>
      <c r="G23" s="68">
        <v>0</v>
      </c>
      <c r="H23" s="27">
        <f>SUM(D23:G23)</f>
        <v>1</v>
      </c>
      <c r="I23" s="62">
        <v>18</v>
      </c>
      <c r="J23" s="25">
        <v>2</v>
      </c>
      <c r="K23" s="25">
        <f>H23*I23*J23</f>
        <v>36</v>
      </c>
      <c r="L23" s="58" t="s">
        <v>72</v>
      </c>
    </row>
    <row r="24" spans="2:12" ht="15.75">
      <c r="B24" s="7"/>
      <c r="C24" s="93" t="s">
        <v>137</v>
      </c>
      <c r="D24" s="1">
        <v>1</v>
      </c>
      <c r="E24" s="1">
        <v>0</v>
      </c>
      <c r="F24" s="1">
        <v>0</v>
      </c>
      <c r="G24" s="1">
        <v>0</v>
      </c>
      <c r="H24" s="27">
        <f>SUM(D24:G24)</f>
        <v>1</v>
      </c>
      <c r="I24" s="62">
        <v>18</v>
      </c>
      <c r="J24" s="25">
        <v>2</v>
      </c>
      <c r="K24" s="25">
        <f>H24*I24*J24</f>
        <v>36</v>
      </c>
      <c r="L24" s="58" t="s">
        <v>73</v>
      </c>
    </row>
    <row r="25" spans="4:12" ht="15.75">
      <c r="D25" s="1">
        <v>0</v>
      </c>
      <c r="E25" s="1">
        <v>0</v>
      </c>
      <c r="F25" s="1">
        <v>0</v>
      </c>
      <c r="G25" s="1">
        <v>0</v>
      </c>
      <c r="H25" s="27">
        <f>SUM(D25:G25)</f>
        <v>0</v>
      </c>
      <c r="I25" s="62">
        <v>0</v>
      </c>
      <c r="J25" s="25">
        <f>H25*I25</f>
        <v>0</v>
      </c>
      <c r="K25" s="25">
        <f>H25*I25*J25</f>
        <v>0</v>
      </c>
      <c r="L25" s="58" t="s">
        <v>74</v>
      </c>
    </row>
    <row r="27" spans="2:12" ht="15.75">
      <c r="B27" s="7"/>
      <c r="H27" s="27"/>
      <c r="I27" s="52" t="s">
        <v>59</v>
      </c>
      <c r="J27" s="25"/>
      <c r="K27" s="26">
        <f>SUM(K29:K31)</f>
        <v>25</v>
      </c>
      <c r="L27" s="16" t="s">
        <v>22</v>
      </c>
    </row>
    <row r="28" spans="1:12" ht="15.75">
      <c r="A28" s="10">
        <v>4</v>
      </c>
      <c r="B28" s="7"/>
      <c r="C28" s="19" t="s">
        <v>21</v>
      </c>
      <c r="D28" s="19"/>
      <c r="E28" s="19"/>
      <c r="F28" s="19"/>
      <c r="G28" s="19"/>
      <c r="H28" s="31" t="s">
        <v>13</v>
      </c>
      <c r="I28" s="52" t="s">
        <v>120</v>
      </c>
      <c r="J28" s="59" t="s">
        <v>114</v>
      </c>
      <c r="K28" s="32" t="s">
        <v>24</v>
      </c>
      <c r="L28" s="6"/>
    </row>
    <row r="29" spans="1:12" ht="15.75">
      <c r="A29" s="10"/>
      <c r="B29" s="7"/>
      <c r="C29" s="1" t="s">
        <v>121</v>
      </c>
      <c r="D29" s="1">
        <v>1</v>
      </c>
      <c r="E29" s="1">
        <v>0</v>
      </c>
      <c r="F29" s="1">
        <v>0</v>
      </c>
      <c r="G29" s="1">
        <v>0</v>
      </c>
      <c r="H29" s="27">
        <v>1</v>
      </c>
      <c r="I29" s="62">
        <v>5</v>
      </c>
      <c r="J29" s="33">
        <v>3</v>
      </c>
      <c r="K29" s="25">
        <f>H29*I29*J29</f>
        <v>15</v>
      </c>
      <c r="L29" s="6"/>
    </row>
    <row r="30" spans="1:12" ht="15.75">
      <c r="A30" s="10"/>
      <c r="B30" s="7"/>
      <c r="C30" s="1" t="s">
        <v>113</v>
      </c>
      <c r="D30" s="1">
        <v>0</v>
      </c>
      <c r="E30" s="1">
        <v>0</v>
      </c>
      <c r="F30" s="1">
        <v>0</v>
      </c>
      <c r="G30" s="1">
        <v>1</v>
      </c>
      <c r="H30" s="27">
        <f>SUM(D30:G30)</f>
        <v>1</v>
      </c>
      <c r="I30" s="62">
        <v>5</v>
      </c>
      <c r="J30" s="33">
        <v>2</v>
      </c>
      <c r="K30" s="25">
        <f>H30*I30*J30</f>
        <v>10</v>
      </c>
      <c r="L30" s="6"/>
    </row>
    <row r="31" spans="1:12" ht="15.75">
      <c r="A31" s="7"/>
      <c r="B31" s="7"/>
      <c r="C31" s="2"/>
      <c r="D31" s="15">
        <v>0</v>
      </c>
      <c r="E31" s="15">
        <v>0</v>
      </c>
      <c r="F31" s="15">
        <v>0</v>
      </c>
      <c r="G31" s="15">
        <v>0</v>
      </c>
      <c r="H31" s="27">
        <f>SUM(D31:G31)</f>
        <v>0</v>
      </c>
      <c r="I31" s="62">
        <v>0</v>
      </c>
      <c r="J31" s="33">
        <v>37</v>
      </c>
      <c r="K31" s="25">
        <f>H31*I31*J31</f>
        <v>0</v>
      </c>
      <c r="L31" s="58" t="s">
        <v>77</v>
      </c>
    </row>
    <row r="32" spans="8:11" ht="15.75">
      <c r="H32" s="36"/>
      <c r="I32" s="52" t="s">
        <v>20</v>
      </c>
      <c r="J32" s="36"/>
      <c r="K32" s="36"/>
    </row>
    <row r="33" spans="1:11" ht="15.75">
      <c r="A33" s="10">
        <v>1</v>
      </c>
      <c r="C33" s="19" t="s">
        <v>23</v>
      </c>
      <c r="D33" s="19"/>
      <c r="E33" s="19"/>
      <c r="F33" s="19"/>
      <c r="G33" s="19"/>
      <c r="H33" s="43" t="s">
        <v>13</v>
      </c>
      <c r="I33" s="52" t="s">
        <v>99</v>
      </c>
      <c r="J33" s="37" t="s">
        <v>51</v>
      </c>
      <c r="K33" s="38">
        <f>SUM(J34:J41)</f>
        <v>56.5</v>
      </c>
    </row>
    <row r="34" spans="3:12" ht="15.75">
      <c r="C34" s="1" t="s">
        <v>109</v>
      </c>
      <c r="D34" s="1">
        <v>5</v>
      </c>
      <c r="E34" s="1">
        <v>0</v>
      </c>
      <c r="F34" s="1">
        <v>0</v>
      </c>
      <c r="G34" s="1">
        <v>2</v>
      </c>
      <c r="H34" s="34">
        <f>SUM(D34:G34)</f>
        <v>7</v>
      </c>
      <c r="I34" s="62">
        <v>3</v>
      </c>
      <c r="J34" s="39">
        <f>H34*I34</f>
        <v>21</v>
      </c>
      <c r="K34" s="36"/>
      <c r="L34" s="16" t="s">
        <v>34</v>
      </c>
    </row>
    <row r="35" spans="3:12" ht="15.75">
      <c r="C35" s="1" t="s">
        <v>122</v>
      </c>
      <c r="D35" s="1">
        <v>2</v>
      </c>
      <c r="E35" s="1">
        <v>0</v>
      </c>
      <c r="F35" s="1">
        <v>0</v>
      </c>
      <c r="G35" s="1">
        <v>0</v>
      </c>
      <c r="H35" s="34">
        <f>SUM(D35:G35)</f>
        <v>2</v>
      </c>
      <c r="I35" s="62">
        <v>8.5</v>
      </c>
      <c r="J35" s="39">
        <f>H35*I35</f>
        <v>17</v>
      </c>
      <c r="K35" s="36"/>
      <c r="L35" s="16" t="s">
        <v>25</v>
      </c>
    </row>
    <row r="36" spans="2:12" ht="15.75">
      <c r="B36" s="8"/>
      <c r="C36" s="64" t="s">
        <v>123</v>
      </c>
      <c r="D36" s="1">
        <v>1</v>
      </c>
      <c r="E36" s="1">
        <v>0</v>
      </c>
      <c r="F36" s="1">
        <v>0</v>
      </c>
      <c r="G36" s="1">
        <v>0</v>
      </c>
      <c r="H36" s="34">
        <f>SUM(D36:G36)</f>
        <v>1</v>
      </c>
      <c r="I36" s="62">
        <v>9.5</v>
      </c>
      <c r="J36" s="39">
        <f>H36*I36</f>
        <v>9.5</v>
      </c>
      <c r="K36" s="39">
        <f>SUM(J34:J36)</f>
        <v>47.5</v>
      </c>
      <c r="L36" s="16" t="s">
        <v>26</v>
      </c>
    </row>
    <row r="37" spans="3:12" ht="15.75">
      <c r="C37" s="104" t="s">
        <v>140</v>
      </c>
      <c r="D37" s="1">
        <v>8</v>
      </c>
      <c r="E37" s="1">
        <v>0</v>
      </c>
      <c r="F37" s="1">
        <v>0</v>
      </c>
      <c r="G37" s="1">
        <v>2</v>
      </c>
      <c r="H37" s="34">
        <f>D37+G37</f>
        <v>10</v>
      </c>
      <c r="I37" s="62">
        <v>0.9</v>
      </c>
      <c r="J37" s="39">
        <f>H37*I37</f>
        <v>9</v>
      </c>
      <c r="K37" s="88"/>
      <c r="L37" s="16"/>
    </row>
    <row r="38" spans="8:12" ht="15.75">
      <c r="H38" s="34"/>
      <c r="I38" s="62"/>
      <c r="J38" s="25"/>
      <c r="K38" s="36"/>
      <c r="L38" s="16"/>
    </row>
    <row r="39" spans="8:12" ht="15.75">
      <c r="H39" s="34"/>
      <c r="I39" s="62"/>
      <c r="J39" s="25"/>
      <c r="K39" s="36"/>
      <c r="L39" s="75"/>
    </row>
    <row r="40" spans="8:12" ht="15.75">
      <c r="H40" s="34"/>
      <c r="I40" s="62"/>
      <c r="J40" s="25"/>
      <c r="L40" s="55"/>
    </row>
    <row r="41" spans="8:12" ht="15.75">
      <c r="H41" s="34"/>
      <c r="I41" s="62"/>
      <c r="J41" s="83"/>
      <c r="L41" s="84"/>
    </row>
    <row r="42" spans="1:12" ht="15.75">
      <c r="A42" s="10">
        <v>3</v>
      </c>
      <c r="C42" s="20" t="s">
        <v>27</v>
      </c>
      <c r="D42" s="65"/>
      <c r="E42" s="65"/>
      <c r="F42" s="65"/>
      <c r="G42" s="65">
        <v>0</v>
      </c>
      <c r="H42" s="34" t="s">
        <v>28</v>
      </c>
      <c r="I42" s="52" t="s">
        <v>130</v>
      </c>
      <c r="J42" s="34" t="s">
        <v>124</v>
      </c>
      <c r="K42" s="38">
        <f>SUM(K43:K51)</f>
        <v>684.0500000000001</v>
      </c>
      <c r="L42" s="96" t="s">
        <v>129</v>
      </c>
    </row>
    <row r="43" spans="3:13" ht="15.75">
      <c r="C43" s="95" t="s">
        <v>127</v>
      </c>
      <c r="D43" s="95">
        <v>1</v>
      </c>
      <c r="E43" s="95">
        <v>0</v>
      </c>
      <c r="F43" s="95">
        <v>0</v>
      </c>
      <c r="G43" s="95">
        <v>0</v>
      </c>
      <c r="H43" s="97">
        <f>SUM(D43:G43)</f>
        <v>1</v>
      </c>
      <c r="I43" s="98">
        <v>100</v>
      </c>
      <c r="J43" s="99">
        <v>6.747</v>
      </c>
      <c r="K43" s="100">
        <f>I43*J43*H43*L43</f>
        <v>674.7</v>
      </c>
      <c r="L43" s="102">
        <v>1</v>
      </c>
      <c r="M43" s="75" t="s">
        <v>93</v>
      </c>
    </row>
    <row r="44" spans="3:13" ht="15.75">
      <c r="C44" s="95" t="s">
        <v>128</v>
      </c>
      <c r="D44" s="95">
        <v>1</v>
      </c>
      <c r="E44" s="95">
        <v>0</v>
      </c>
      <c r="F44" s="95">
        <v>0</v>
      </c>
      <c r="G44" s="95">
        <v>0</v>
      </c>
      <c r="H44" s="97">
        <f>SUM(D44:G44)</f>
        <v>1</v>
      </c>
      <c r="I44" s="98">
        <v>36.5</v>
      </c>
      <c r="J44" s="99">
        <v>6.747</v>
      </c>
      <c r="K44" s="101">
        <f>I44*J44*H44*L44</f>
        <v>0</v>
      </c>
      <c r="L44" s="102">
        <v>0</v>
      </c>
      <c r="M44" s="101">
        <f>H44*I44*J44</f>
        <v>246.2655</v>
      </c>
    </row>
    <row r="46" spans="3:12" ht="15.75">
      <c r="C46" s="93" t="s">
        <v>133</v>
      </c>
      <c r="H46" s="34">
        <v>0</v>
      </c>
      <c r="I46" s="62">
        <v>0</v>
      </c>
      <c r="J46" s="36"/>
      <c r="K46" s="61"/>
      <c r="L46" s="55"/>
    </row>
    <row r="49" spans="3:11" ht="15.75">
      <c r="C49" s="1" t="s">
        <v>102</v>
      </c>
      <c r="D49" s="1">
        <v>0</v>
      </c>
      <c r="E49" s="1">
        <v>0</v>
      </c>
      <c r="F49" s="1">
        <v>0</v>
      </c>
      <c r="G49" s="1">
        <v>1</v>
      </c>
      <c r="H49" s="34">
        <v>1</v>
      </c>
      <c r="I49" s="63">
        <v>9.35</v>
      </c>
      <c r="K49" s="40">
        <f>H49*I49</f>
        <v>9.35</v>
      </c>
    </row>
    <row r="50" spans="3:12" ht="15.75">
      <c r="C50" s="1" t="s">
        <v>65</v>
      </c>
      <c r="D50" s="1">
        <v>0</v>
      </c>
      <c r="E50" s="1">
        <v>0</v>
      </c>
      <c r="F50" s="1">
        <v>0</v>
      </c>
      <c r="G50" s="1">
        <v>2</v>
      </c>
      <c r="H50" s="34">
        <v>0</v>
      </c>
      <c r="I50" s="63">
        <v>4</v>
      </c>
      <c r="K50" s="25">
        <f>H50*I50</f>
        <v>0</v>
      </c>
      <c r="L50" s="58" t="s">
        <v>78</v>
      </c>
    </row>
    <row r="51" spans="3:11" ht="15.75">
      <c r="C51" s="1" t="s">
        <v>101</v>
      </c>
      <c r="D51" s="1">
        <v>3</v>
      </c>
      <c r="E51" s="1">
        <v>0</v>
      </c>
      <c r="F51" s="1">
        <v>0</v>
      </c>
      <c r="G51" s="1">
        <v>0</v>
      </c>
      <c r="H51" s="34">
        <v>0</v>
      </c>
      <c r="I51" s="63">
        <v>2.5</v>
      </c>
      <c r="K51" s="25">
        <f>H51*I51</f>
        <v>0</v>
      </c>
    </row>
    <row r="52" spans="3:11" ht="15.75">
      <c r="C52" s="19" t="s">
        <v>55</v>
      </c>
      <c r="D52" s="82"/>
      <c r="E52" s="19"/>
      <c r="F52" s="19"/>
      <c r="G52" s="19"/>
      <c r="H52" s="36"/>
      <c r="I52" s="51"/>
      <c r="J52" s="36"/>
      <c r="K52" s="35">
        <v>20.3</v>
      </c>
    </row>
    <row r="53" spans="3:11" ht="15.75">
      <c r="C53" s="18"/>
      <c r="D53" s="18"/>
      <c r="E53" s="18"/>
      <c r="F53" s="18"/>
      <c r="G53" s="18"/>
      <c r="H53" s="34" t="s">
        <v>31</v>
      </c>
      <c r="I53" s="51" t="s">
        <v>92</v>
      </c>
      <c r="J53" s="1" t="s">
        <v>90</v>
      </c>
      <c r="K53" s="36" t="s">
        <v>33</v>
      </c>
    </row>
    <row r="54" spans="3:11" ht="15.75">
      <c r="C54" s="1" t="s">
        <v>103</v>
      </c>
      <c r="D54" s="85">
        <v>15000</v>
      </c>
      <c r="E54" s="85"/>
      <c r="F54" s="85"/>
      <c r="G54" s="86">
        <v>7800</v>
      </c>
      <c r="H54" s="36">
        <f>SUM(D54:G54)</f>
        <v>22800</v>
      </c>
      <c r="I54" s="51">
        <v>9.4E-05</v>
      </c>
      <c r="J54" s="36">
        <v>3</v>
      </c>
      <c r="K54" s="36">
        <f>H54*I54*J54</f>
        <v>6.429599999999999</v>
      </c>
    </row>
    <row r="55" spans="3:11" ht="15.75">
      <c r="C55" s="1" t="s">
        <v>104</v>
      </c>
      <c r="H55" s="34" t="s">
        <v>31</v>
      </c>
      <c r="I55" s="51" t="s">
        <v>32</v>
      </c>
      <c r="J55" s="36" t="s">
        <v>91</v>
      </c>
      <c r="K55" s="36"/>
    </row>
    <row r="56" spans="8:11" ht="15.75">
      <c r="H56" s="36">
        <v>15120</v>
      </c>
      <c r="I56" s="51">
        <v>9.4E-05</v>
      </c>
      <c r="J56" s="36">
        <v>10</v>
      </c>
      <c r="K56" s="36">
        <f>H56*I56*J56</f>
        <v>14.212799999999998</v>
      </c>
    </row>
    <row r="57" spans="3:11" ht="15.75">
      <c r="C57" s="19" t="s">
        <v>56</v>
      </c>
      <c r="D57" s="19"/>
      <c r="E57" s="19"/>
      <c r="F57" s="19"/>
      <c r="G57" s="19"/>
      <c r="H57" s="34" t="s">
        <v>61</v>
      </c>
      <c r="I57" s="51" t="s">
        <v>62</v>
      </c>
      <c r="J57" s="36"/>
      <c r="K57" s="35">
        <f>SUM(J58:J60)</f>
        <v>6</v>
      </c>
    </row>
    <row r="58" spans="3:11" ht="15.75">
      <c r="C58" s="1" t="s">
        <v>63</v>
      </c>
      <c r="H58" s="76">
        <v>20</v>
      </c>
      <c r="I58" s="62">
        <v>0.05</v>
      </c>
      <c r="J58" s="40">
        <f>H58*I58</f>
        <v>1</v>
      </c>
      <c r="K58" s="36"/>
    </row>
    <row r="59" spans="3:11" ht="15.75">
      <c r="C59" s="1" t="s">
        <v>66</v>
      </c>
      <c r="H59" s="34">
        <v>5</v>
      </c>
      <c r="I59" s="62">
        <v>0.5</v>
      </c>
      <c r="J59" s="40">
        <f>H59*I59</f>
        <v>2.5</v>
      </c>
      <c r="K59" s="36"/>
    </row>
    <row r="60" spans="3:10" ht="15.75">
      <c r="C60" s="1" t="s">
        <v>67</v>
      </c>
      <c r="H60" s="34"/>
      <c r="J60" s="40">
        <f>2.5</f>
        <v>2.5</v>
      </c>
    </row>
    <row r="61" spans="8:11" ht="15.75">
      <c r="H61" s="36"/>
      <c r="I61" s="51"/>
      <c r="J61" s="36"/>
      <c r="K61" s="36"/>
    </row>
    <row r="62" spans="3:12" ht="15.75">
      <c r="C62" s="19" t="s">
        <v>57</v>
      </c>
      <c r="D62" s="19"/>
      <c r="E62" s="19"/>
      <c r="F62" s="19"/>
      <c r="G62" s="19"/>
      <c r="H62" s="34">
        <v>3</v>
      </c>
      <c r="I62" s="62">
        <v>0.24</v>
      </c>
      <c r="J62" s="56">
        <f>5*H62*I62</f>
        <v>3.5999999999999996</v>
      </c>
      <c r="K62" s="35">
        <f>J62</f>
        <v>3.5999999999999996</v>
      </c>
      <c r="L62" s="1" t="s">
        <v>97</v>
      </c>
    </row>
    <row r="63" spans="8:11" ht="15.75">
      <c r="H63" s="36"/>
      <c r="I63" s="51"/>
      <c r="J63" s="36"/>
      <c r="K63" s="36"/>
    </row>
    <row r="64" spans="1:12" ht="15.75">
      <c r="A64" s="1">
        <v>2</v>
      </c>
      <c r="C64" s="20" t="s">
        <v>58</v>
      </c>
      <c r="D64" s="20"/>
      <c r="E64" s="20"/>
      <c r="F64" s="20"/>
      <c r="G64" s="20"/>
      <c r="H64" s="36"/>
      <c r="I64" s="51" t="s">
        <v>125</v>
      </c>
      <c r="J64" s="36"/>
      <c r="K64" s="35">
        <f>SUM(K65:K78)</f>
        <v>621.2019500000001</v>
      </c>
      <c r="L64" s="96" t="s">
        <v>129</v>
      </c>
    </row>
    <row r="65" spans="3:12" ht="15.75">
      <c r="C65" s="95" t="s">
        <v>126</v>
      </c>
      <c r="D65" s="1">
        <v>1</v>
      </c>
      <c r="E65" s="1">
        <v>0</v>
      </c>
      <c r="F65" s="1">
        <v>0</v>
      </c>
      <c r="G65" s="1">
        <v>0</v>
      </c>
      <c r="H65" s="34">
        <f>SUM(D65:G65)</f>
        <v>1</v>
      </c>
      <c r="I65" s="94">
        <v>25</v>
      </c>
      <c r="J65" s="36">
        <v>6.747</v>
      </c>
      <c r="K65" s="61">
        <f>I65*J65*H65</f>
        <v>168.675</v>
      </c>
      <c r="L65" s="114">
        <v>1</v>
      </c>
    </row>
    <row r="66" spans="3:12" ht="15.75">
      <c r="C66" s="112" t="s">
        <v>153</v>
      </c>
      <c r="I66" s="94">
        <v>31.6</v>
      </c>
      <c r="J66" s="36">
        <v>6.747</v>
      </c>
      <c r="K66" s="39">
        <f>I66*J66</f>
        <v>213.20520000000002</v>
      </c>
      <c r="L66" s="102">
        <v>1</v>
      </c>
    </row>
    <row r="67" spans="3:12" ht="15.75">
      <c r="C67" s="107" t="s">
        <v>151</v>
      </c>
      <c r="H67" s="34">
        <v>0</v>
      </c>
      <c r="I67" s="94">
        <v>15</v>
      </c>
      <c r="J67" s="36">
        <v>6.747</v>
      </c>
      <c r="K67" s="61">
        <v>68</v>
      </c>
      <c r="L67" s="102">
        <v>1</v>
      </c>
    </row>
    <row r="68" spans="3:11" ht="15.75">
      <c r="C68" s="107" t="s">
        <v>154</v>
      </c>
      <c r="I68" s="94">
        <v>15</v>
      </c>
      <c r="J68" s="36">
        <v>6.747</v>
      </c>
      <c r="K68" s="61">
        <f>I68*J68*0.21</f>
        <v>21.253049999999998</v>
      </c>
    </row>
    <row r="69" spans="3:11" ht="15.75">
      <c r="C69" s="93" t="s">
        <v>138</v>
      </c>
      <c r="I69" s="94">
        <v>5</v>
      </c>
      <c r="J69" s="36">
        <v>6.747</v>
      </c>
      <c r="K69" s="61">
        <f>I69*J69*0.42</f>
        <v>14.1687</v>
      </c>
    </row>
    <row r="70" spans="3:11" ht="15.75">
      <c r="C70" s="93" t="s">
        <v>132</v>
      </c>
      <c r="D70" s="1">
        <v>3</v>
      </c>
      <c r="E70" s="1">
        <v>0</v>
      </c>
      <c r="F70" s="1">
        <v>0</v>
      </c>
      <c r="G70" s="1">
        <v>0</v>
      </c>
      <c r="H70" s="34">
        <f>SUM(D70:G70)</f>
        <v>3</v>
      </c>
      <c r="I70" s="63">
        <v>30</v>
      </c>
      <c r="K70" s="1">
        <f>H70*I70</f>
        <v>90</v>
      </c>
    </row>
    <row r="71" spans="1:12" ht="15.75">
      <c r="A71" s="2"/>
      <c r="C71" s="93" t="s">
        <v>134</v>
      </c>
      <c r="H71" s="34"/>
      <c r="I71" s="62"/>
      <c r="J71" s="36"/>
      <c r="K71" s="61">
        <v>9.7</v>
      </c>
      <c r="L71" s="58" t="s">
        <v>35</v>
      </c>
    </row>
    <row r="72" spans="3:12" ht="15.75">
      <c r="C72" s="93" t="s">
        <v>135</v>
      </c>
      <c r="D72" s="1">
        <v>6</v>
      </c>
      <c r="E72" s="1">
        <v>0</v>
      </c>
      <c r="F72" s="1">
        <v>0</v>
      </c>
      <c r="G72" s="1">
        <v>3</v>
      </c>
      <c r="H72" s="34">
        <v>9</v>
      </c>
      <c r="I72" s="62">
        <v>1</v>
      </c>
      <c r="J72" s="36"/>
      <c r="K72" s="61">
        <v>9</v>
      </c>
      <c r="L72" s="58" t="s">
        <v>79</v>
      </c>
    </row>
    <row r="73" spans="3:11" ht="15.75">
      <c r="C73" s="107" t="s">
        <v>155</v>
      </c>
      <c r="H73" s="34">
        <v>16</v>
      </c>
      <c r="I73" s="61">
        <v>0.5</v>
      </c>
      <c r="J73" s="69"/>
      <c r="K73" s="40">
        <f>H73*I73</f>
        <v>8</v>
      </c>
    </row>
    <row r="74" spans="3:12" ht="15.75">
      <c r="C74" s="93" t="s">
        <v>136</v>
      </c>
      <c r="H74" s="34">
        <v>8</v>
      </c>
      <c r="I74" s="62">
        <v>0.9</v>
      </c>
      <c r="J74" s="36"/>
      <c r="K74" s="61">
        <f>H74*I74</f>
        <v>7.2</v>
      </c>
      <c r="L74" s="58"/>
    </row>
    <row r="75" spans="3:12" ht="15.75">
      <c r="C75" s="1" t="s">
        <v>64</v>
      </c>
      <c r="H75" s="34">
        <v>0</v>
      </c>
      <c r="I75" s="60">
        <v>2</v>
      </c>
      <c r="J75" s="40"/>
      <c r="K75" s="40">
        <f>H75*I75</f>
        <v>0</v>
      </c>
      <c r="L75" s="16"/>
    </row>
    <row r="76" spans="3:12" ht="15.75">
      <c r="C76" s="93" t="s">
        <v>138</v>
      </c>
      <c r="H76" s="34"/>
      <c r="I76" s="53"/>
      <c r="J76" s="36"/>
      <c r="K76" s="40">
        <v>0</v>
      </c>
      <c r="L76" s="44"/>
    </row>
    <row r="77" spans="3:12" ht="15.75">
      <c r="C77" s="93" t="s">
        <v>139</v>
      </c>
      <c r="D77" s="2"/>
      <c r="E77" s="2"/>
      <c r="F77" s="2"/>
      <c r="G77" s="2"/>
      <c r="H77" s="34"/>
      <c r="I77" s="53"/>
      <c r="J77" s="36"/>
      <c r="K77" s="40"/>
      <c r="L77" s="44"/>
    </row>
    <row r="78" spans="3:12" ht="15.75">
      <c r="C78" s="107" t="s">
        <v>152</v>
      </c>
      <c r="H78" s="34">
        <v>30</v>
      </c>
      <c r="I78" s="62">
        <v>0.4</v>
      </c>
      <c r="K78" s="40">
        <f>H78*I78</f>
        <v>12</v>
      </c>
      <c r="L78" s="103" t="s">
        <v>131</v>
      </c>
    </row>
    <row r="80" spans="8:11" ht="15.75">
      <c r="H80" s="34"/>
      <c r="I80" s="51"/>
      <c r="J80" s="36"/>
      <c r="K80" s="36"/>
    </row>
    <row r="81" spans="8:12" ht="15.75">
      <c r="H81" s="34"/>
      <c r="I81" s="60"/>
      <c r="J81" s="40"/>
      <c r="K81" s="40"/>
      <c r="L81" s="44"/>
    </row>
    <row r="82" spans="8:12" ht="15.75">
      <c r="H82" s="34"/>
      <c r="I82" s="60"/>
      <c r="J82" s="40"/>
      <c r="K82" s="40"/>
      <c r="L82" s="16"/>
    </row>
    <row r="83" spans="8:12" ht="15.75">
      <c r="H83" s="34"/>
      <c r="I83" s="60"/>
      <c r="J83" s="40"/>
      <c r="K83" s="36"/>
      <c r="L83" s="16"/>
    </row>
    <row r="84" spans="8:10" ht="15.75">
      <c r="H84" s="34"/>
      <c r="I84" s="60"/>
      <c r="J84" s="40"/>
    </row>
    <row r="85" spans="8:12" ht="15.75">
      <c r="H85" s="34"/>
      <c r="I85" s="60"/>
      <c r="J85" s="40"/>
      <c r="K85" s="36"/>
      <c r="L85" s="16"/>
    </row>
    <row r="86" spans="8:12" ht="15.75">
      <c r="H86" s="34"/>
      <c r="I86" s="60"/>
      <c r="J86" s="40"/>
      <c r="K86" s="36"/>
      <c r="L86" s="16"/>
    </row>
    <row r="87" spans="8:12" ht="15.75">
      <c r="H87" s="34"/>
      <c r="I87" s="60"/>
      <c r="J87" s="40"/>
      <c r="K87" s="36"/>
      <c r="L87" s="16"/>
    </row>
    <row r="88" spans="8:11" ht="15.75">
      <c r="H88" s="34"/>
      <c r="I88" s="61"/>
      <c r="J88" s="40"/>
      <c r="K88" s="36"/>
    </row>
    <row r="89" spans="3:12" ht="15.75">
      <c r="C89" s="17"/>
      <c r="D89" s="17"/>
      <c r="E89" s="17"/>
      <c r="F89" s="17"/>
      <c r="G89" s="17"/>
      <c r="H89" s="34"/>
      <c r="I89" s="60"/>
      <c r="J89" s="25"/>
      <c r="K89" s="36"/>
      <c r="L89" s="16"/>
    </row>
    <row r="90" spans="3:12" ht="15.75">
      <c r="C90" s="17"/>
      <c r="D90" s="17"/>
      <c r="E90" s="17"/>
      <c r="F90" s="17"/>
      <c r="G90" s="17"/>
      <c r="H90" s="34"/>
      <c r="I90" s="60"/>
      <c r="J90" s="25"/>
      <c r="K90" s="36"/>
      <c r="L90" s="16"/>
    </row>
    <row r="91" ht="15.75">
      <c r="H91" s="34"/>
    </row>
    <row r="92" spans="3:11" ht="15.75">
      <c r="C92" s="2"/>
      <c r="D92" s="2"/>
      <c r="E92" s="2"/>
      <c r="F92" s="2"/>
      <c r="G92" s="2"/>
      <c r="H92" s="34"/>
      <c r="I92" s="51"/>
      <c r="J92" s="36"/>
      <c r="K92" s="41"/>
    </row>
    <row r="93" spans="8:11" ht="15.75">
      <c r="H93" s="34"/>
      <c r="I93" s="51"/>
      <c r="J93" s="36"/>
      <c r="K93" s="36"/>
    </row>
    <row r="94" spans="8:12" ht="15.75">
      <c r="H94" s="34"/>
      <c r="I94" s="60"/>
      <c r="J94" s="40"/>
      <c r="K94" s="36"/>
      <c r="L94" s="75"/>
    </row>
    <row r="95" spans="8:11" ht="15.75">
      <c r="H95" s="34"/>
      <c r="I95" s="60"/>
      <c r="J95" s="40"/>
      <c r="K95" s="36"/>
    </row>
    <row r="96" spans="8:12" ht="15.75">
      <c r="H96" s="34"/>
      <c r="I96" s="60"/>
      <c r="J96" s="40"/>
      <c r="K96" s="36"/>
      <c r="L96" s="75"/>
    </row>
    <row r="97" spans="8:12" ht="15.75">
      <c r="H97" s="34"/>
      <c r="I97" s="60"/>
      <c r="J97" s="40"/>
      <c r="K97" s="36"/>
      <c r="L97" s="75"/>
    </row>
    <row r="98" spans="8:11" ht="15.75">
      <c r="H98" s="34"/>
      <c r="I98" s="60"/>
      <c r="J98" s="69"/>
      <c r="K98" s="36"/>
    </row>
    <row r="99" spans="8:11" ht="15.75">
      <c r="H99" s="34"/>
      <c r="I99" s="60"/>
      <c r="J99" s="69"/>
      <c r="K99" s="36"/>
    </row>
    <row r="100" spans="8:11" ht="15.75">
      <c r="H100" s="34"/>
      <c r="I100" s="60"/>
      <c r="J100" s="69"/>
      <c r="K100" s="36"/>
    </row>
    <row r="101" spans="8:11" ht="15.75">
      <c r="H101" s="34"/>
      <c r="I101" s="60"/>
      <c r="J101" s="69"/>
      <c r="K101" s="36"/>
    </row>
    <row r="102" spans="8:11" ht="15.75">
      <c r="H102" s="34"/>
      <c r="I102" s="60"/>
      <c r="J102" s="69"/>
      <c r="K102" s="36"/>
    </row>
    <row r="103" spans="8:11" ht="15.75">
      <c r="H103" s="34"/>
      <c r="I103" s="60"/>
      <c r="J103" s="69"/>
      <c r="K103" s="36"/>
    </row>
    <row r="104" spans="8:11" ht="15.75">
      <c r="H104" s="34"/>
      <c r="I104" s="60"/>
      <c r="J104" s="69"/>
      <c r="K104" s="36"/>
    </row>
    <row r="105" spans="8:11" ht="15.75">
      <c r="H105" s="34"/>
      <c r="I105" s="61"/>
      <c r="J105" s="69"/>
      <c r="K105" s="36"/>
    </row>
    <row r="106" spans="8:11" ht="15.75">
      <c r="H106" s="34"/>
      <c r="I106" s="61"/>
      <c r="J106" s="69"/>
      <c r="K106" s="36"/>
    </row>
    <row r="108" spans="3:12" ht="15.75">
      <c r="C108" s="2"/>
      <c r="H108" s="34"/>
      <c r="I108" s="61"/>
      <c r="J108" s="83"/>
      <c r="L108" s="84" t="s">
        <v>100</v>
      </c>
    </row>
    <row r="109" spans="1:12" ht="15.75">
      <c r="A109" s="10">
        <v>6</v>
      </c>
      <c r="C109" s="20" t="s">
        <v>54</v>
      </c>
      <c r="D109" s="20"/>
      <c r="E109" s="20"/>
      <c r="F109" s="20"/>
      <c r="G109" s="20"/>
      <c r="H109" s="36"/>
      <c r="I109" s="51"/>
      <c r="J109" s="36"/>
      <c r="K109" s="38">
        <f>'Institution Fund Division'!D16</f>
        <v>0</v>
      </c>
      <c r="L109" s="16" t="s">
        <v>30</v>
      </c>
    </row>
    <row r="110" spans="3:8" ht="15.75">
      <c r="C110" s="20" t="s">
        <v>75</v>
      </c>
      <c r="D110" s="20"/>
      <c r="E110" s="20"/>
      <c r="F110" s="20"/>
      <c r="G110" s="20"/>
      <c r="H110" s="34" t="s">
        <v>29</v>
      </c>
    </row>
    <row r="111" spans="3:11" ht="15.75">
      <c r="C111" s="1" t="s">
        <v>76</v>
      </c>
      <c r="H111" s="34">
        <v>0</v>
      </c>
      <c r="I111" s="60">
        <v>3</v>
      </c>
      <c r="K111" s="35">
        <f>I111*H111</f>
        <v>0</v>
      </c>
    </row>
    <row r="113" spans="1:14" ht="15.75">
      <c r="A113" s="3"/>
      <c r="B113" s="3"/>
      <c r="C113" s="21" t="s">
        <v>1</v>
      </c>
      <c r="D113" s="21"/>
      <c r="E113" s="21"/>
      <c r="F113" s="21"/>
      <c r="G113" s="21"/>
      <c r="H113" s="42"/>
      <c r="I113" s="54"/>
      <c r="J113" s="42"/>
      <c r="K113" s="46">
        <f>K11+K17+K20+K27+K33+K109+K52+K64+K57+K62+K42+K111</f>
        <v>1999.65195</v>
      </c>
      <c r="L113" s="5"/>
      <c r="N113" s="2"/>
    </row>
    <row r="115" spans="3:11" ht="15.75">
      <c r="C115" s="1" t="s">
        <v>106</v>
      </c>
      <c r="J115" s="107" t="s">
        <v>146</v>
      </c>
      <c r="K115" s="108" t="s">
        <v>145</v>
      </c>
    </row>
    <row r="116" spans="3:12" ht="15.75">
      <c r="C116" s="1" t="s">
        <v>105</v>
      </c>
      <c r="J116" s="109">
        <f>K43</f>
        <v>674.7</v>
      </c>
      <c r="K116" s="89">
        <f>K70+K71+J36</f>
        <v>109.2</v>
      </c>
      <c r="L116" s="83">
        <f>J116+K116</f>
        <v>783.9000000000001</v>
      </c>
    </row>
    <row r="117" spans="3:12" ht="15.75">
      <c r="C117" s="107" t="s">
        <v>144</v>
      </c>
      <c r="J117" s="113">
        <f>SUM(K65:K69)</f>
        <v>485.30195000000003</v>
      </c>
      <c r="K117" s="110">
        <f>J34+J35+J37+K46+K49+SUM(K50:K51)+SUM(K72:K77)+K52</f>
        <v>100.85</v>
      </c>
      <c r="L117" s="83">
        <f>2000-L116-L119-L120</f>
        <v>553.1999999999998</v>
      </c>
    </row>
    <row r="118" spans="11:13" ht="15.75">
      <c r="K118" s="90"/>
      <c r="L118" s="83">
        <f>L116+L117</f>
        <v>1337.1</v>
      </c>
      <c r="M118" s="107" t="s">
        <v>147</v>
      </c>
    </row>
    <row r="119" spans="3:13" ht="15.75">
      <c r="C119" s="107" t="s">
        <v>141</v>
      </c>
      <c r="J119" s="83">
        <f>J116+J117</f>
        <v>1160.00195</v>
      </c>
      <c r="L119" s="111">
        <f>K11+K62+K27</f>
        <v>413.6</v>
      </c>
      <c r="M119" s="107" t="s">
        <v>148</v>
      </c>
    </row>
    <row r="120" spans="10:13" ht="15.75">
      <c r="J120" s="1">
        <v>930</v>
      </c>
      <c r="L120" s="111">
        <f>K20+K27+K57+K52</f>
        <v>249.3</v>
      </c>
      <c r="M120" s="107" t="s">
        <v>149</v>
      </c>
    </row>
    <row r="121" spans="10:13" ht="15.75">
      <c r="J121" s="83">
        <f>J119-J120</f>
        <v>230.00195000000008</v>
      </c>
      <c r="L121" s="83">
        <f>SUM(L118:L120)</f>
        <v>1999.9999999999998</v>
      </c>
      <c r="M121" s="107" t="s">
        <v>150</v>
      </c>
    </row>
  </sheetData>
  <sheetProtection/>
  <mergeCells count="3">
    <mergeCell ref="J6:M6"/>
    <mergeCell ref="H9:J9"/>
    <mergeCell ref="L1:M2"/>
  </mergeCells>
  <printOptions/>
  <pageMargins left="0.75" right="0.75" top="1" bottom="1" header="0.3" footer="0.3"/>
  <pageSetup fitToHeight="1" fitToWidth="1" horizontalDpi="600" verticalDpi="600" orientation="portrait" scale="6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">
      <selection activeCell="B31" sqref="B31"/>
    </sheetView>
  </sheetViews>
  <sheetFormatPr defaultColWidth="11.421875" defaultRowHeight="15"/>
  <cols>
    <col min="1" max="1" width="81.7109375" style="0" customWidth="1"/>
    <col min="2" max="2" width="16.00390625" style="0" customWidth="1"/>
    <col min="3" max="3" width="13.140625" style="0" customWidth="1"/>
    <col min="4" max="4" width="29.140625" style="0" customWidth="1"/>
  </cols>
  <sheetData>
    <row r="1" spans="2:4" ht="16.5">
      <c r="B1" t="s">
        <v>96</v>
      </c>
      <c r="C1" t="s">
        <v>95</v>
      </c>
      <c r="D1" s="73" t="s">
        <v>89</v>
      </c>
    </row>
    <row r="2" spans="1:4" ht="15">
      <c r="A2" s="70" t="s">
        <v>88</v>
      </c>
      <c r="B2" s="70"/>
      <c r="C2" s="70"/>
      <c r="D2" s="87">
        <v>2000</v>
      </c>
    </row>
    <row r="3" spans="1:4" ht="15">
      <c r="A3" s="70" t="s">
        <v>84</v>
      </c>
      <c r="B3" s="78">
        <v>0.88</v>
      </c>
      <c r="C3" s="74">
        <f>D3/$D$2</f>
        <v>1.000000975</v>
      </c>
      <c r="D3" s="87">
        <f>SUM(D4:D15)</f>
        <v>2000.0019500000003</v>
      </c>
    </row>
    <row r="4" spans="1:4" ht="15">
      <c r="A4" s="22" t="s">
        <v>83</v>
      </c>
      <c r="B4" s="79">
        <v>0.04</v>
      </c>
      <c r="C4" s="74">
        <f aca="true" t="shared" si="0" ref="C4:C16">D4/$D$2</f>
        <v>0.02825</v>
      </c>
      <c r="D4" s="87">
        <f>'Calculation Basis'!K33</f>
        <v>56.5</v>
      </c>
    </row>
    <row r="5" spans="1:4" ht="13.5">
      <c r="A5" s="71" t="s">
        <v>82</v>
      </c>
      <c r="B5" s="80"/>
      <c r="C5" s="74"/>
      <c r="D5" s="87">
        <v>0</v>
      </c>
    </row>
    <row r="6" spans="1:4" ht="15">
      <c r="A6" s="22" t="s">
        <v>81</v>
      </c>
      <c r="B6" s="79">
        <v>0.21</v>
      </c>
      <c r="C6" s="74">
        <f t="shared" si="0"/>
        <v>0.31060097500000006</v>
      </c>
      <c r="D6" s="87">
        <f>'Calculation Basis'!K64</f>
        <v>621.2019500000001</v>
      </c>
    </row>
    <row r="7" spans="1:4" ht="15">
      <c r="A7" s="22" t="s">
        <v>37</v>
      </c>
      <c r="B7" s="79">
        <v>0.28</v>
      </c>
      <c r="C7" s="74">
        <f t="shared" si="0"/>
        <v>0.342025</v>
      </c>
      <c r="D7" s="87">
        <f>'Calculation Basis'!K42</f>
        <v>684.0500000000001</v>
      </c>
    </row>
    <row r="8" spans="1:4" ht="15">
      <c r="A8" s="22" t="s">
        <v>38</v>
      </c>
      <c r="B8" s="79">
        <v>0.01</v>
      </c>
      <c r="C8" s="74">
        <f>D8/$D$2</f>
        <v>0.010324999999999999</v>
      </c>
      <c r="D8" s="87">
        <v>20.65</v>
      </c>
    </row>
    <row r="9" spans="1:4" ht="15">
      <c r="A9" s="22" t="s">
        <v>39</v>
      </c>
      <c r="B9" s="79">
        <v>0.05</v>
      </c>
      <c r="C9" s="74">
        <f>D9/$D$2</f>
        <v>0</v>
      </c>
      <c r="D9" s="87">
        <f>'Calculation Basis'!K17</f>
        <v>0</v>
      </c>
    </row>
    <row r="10" spans="1:4" ht="15">
      <c r="A10" s="22" t="s">
        <v>40</v>
      </c>
      <c r="B10" s="79">
        <v>0.01</v>
      </c>
      <c r="C10" s="74">
        <f t="shared" si="0"/>
        <v>0.0125</v>
      </c>
      <c r="D10" s="87">
        <f>'Calculation Basis'!K27</f>
        <v>25</v>
      </c>
    </row>
    <row r="11" spans="1:4" ht="15">
      <c r="A11" s="22" t="s">
        <v>41</v>
      </c>
      <c r="B11" s="79">
        <v>0.08</v>
      </c>
      <c r="C11" s="74">
        <f t="shared" si="0"/>
        <v>0.099</v>
      </c>
      <c r="D11" s="87">
        <f>'Calculation Basis'!K20</f>
        <v>198</v>
      </c>
    </row>
    <row r="12" spans="1:4" ht="18" customHeight="1">
      <c r="A12" s="22" t="s">
        <v>42</v>
      </c>
      <c r="B12" s="79">
        <v>0.05</v>
      </c>
      <c r="C12" s="74">
        <f t="shared" si="0"/>
        <v>0.003</v>
      </c>
      <c r="D12" s="87">
        <f>'Calculation Basis'!K57</f>
        <v>6</v>
      </c>
    </row>
    <row r="13" spans="1:4" ht="15">
      <c r="A13" s="22" t="s">
        <v>43</v>
      </c>
      <c r="B13" s="79">
        <v>0.15</v>
      </c>
      <c r="C13" s="74">
        <f t="shared" si="0"/>
        <v>0.1925</v>
      </c>
      <c r="D13" s="87">
        <f>'Calculation Basis'!K11</f>
        <v>385</v>
      </c>
    </row>
    <row r="14" spans="1:4" ht="15">
      <c r="A14" s="22" t="s">
        <v>44</v>
      </c>
      <c r="B14" s="79">
        <v>0.004</v>
      </c>
      <c r="C14" s="74">
        <f t="shared" si="0"/>
        <v>0.0017999999999999997</v>
      </c>
      <c r="D14" s="87">
        <f>'Calculation Basis'!K62</f>
        <v>3.5999999999999996</v>
      </c>
    </row>
    <row r="15" spans="1:4" ht="15">
      <c r="A15" s="22" t="s">
        <v>45</v>
      </c>
      <c r="B15" s="79">
        <v>0</v>
      </c>
      <c r="C15" s="74">
        <f t="shared" si="0"/>
        <v>0</v>
      </c>
      <c r="D15" s="87">
        <f>'Calculation Basis'!K111</f>
        <v>0</v>
      </c>
    </row>
    <row r="16" spans="1:4" ht="15">
      <c r="A16" s="72" t="s">
        <v>46</v>
      </c>
      <c r="B16" s="81">
        <v>0.12</v>
      </c>
      <c r="C16" s="74">
        <f t="shared" si="0"/>
        <v>0</v>
      </c>
      <c r="D16" s="87">
        <v>0</v>
      </c>
    </row>
    <row r="17" spans="1:4" ht="15">
      <c r="A17" s="72" t="s">
        <v>47</v>
      </c>
      <c r="B17" s="72"/>
      <c r="C17" s="72"/>
      <c r="D17" s="23">
        <v>100</v>
      </c>
    </row>
    <row r="18" spans="1:4" ht="15">
      <c r="A18" s="72" t="s">
        <v>48</v>
      </c>
      <c r="B18" s="72"/>
      <c r="C18" s="72"/>
      <c r="D18" s="24">
        <f>(D3-D4-500)*0.15-0.02</f>
        <v>216.50529250000002</v>
      </c>
    </row>
    <row r="19" spans="1:4" ht="15">
      <c r="A19" s="72" t="s">
        <v>49</v>
      </c>
      <c r="B19" s="72"/>
      <c r="C19" s="72"/>
      <c r="D19" s="24"/>
    </row>
    <row r="20" spans="1:4" ht="15">
      <c r="A20" s="72" t="s">
        <v>50</v>
      </c>
      <c r="B20" s="72"/>
      <c r="C20" s="72"/>
      <c r="D20" s="22"/>
    </row>
    <row r="21" ht="13.5">
      <c r="D21">
        <f>SUM(D9:D11)/D3</f>
        <v>0.11149989128760598</v>
      </c>
    </row>
    <row r="23" ht="13.5">
      <c r="D23" s="91">
        <f>SUM(D9:D11)</f>
        <v>223</v>
      </c>
    </row>
    <row r="24" spans="3:5" ht="13.5">
      <c r="C24" s="105" t="s">
        <v>107</v>
      </c>
      <c r="D24" s="105" t="s">
        <v>108</v>
      </c>
      <c r="E24" s="106" t="s">
        <v>141</v>
      </c>
    </row>
    <row r="25" spans="3:4" ht="13.5">
      <c r="C25" s="105" t="e">
        <f>'Calculation Basis'!K44+'Calculation Basis'!K43+'Calculation Basis'!#REF!+'Calculation Basis'!K65</f>
        <v>#REF!</v>
      </c>
      <c r="D25" s="105" t="e">
        <f>2000-C25</f>
        <v>#REF!</v>
      </c>
    </row>
    <row r="26" spans="2:4" ht="13.5">
      <c r="B26" s="106" t="s">
        <v>142</v>
      </c>
      <c r="C26">
        <f>'Calculation Basis'!K43</f>
        <v>674.7</v>
      </c>
      <c r="D26">
        <f>'Calculation Basis'!K70+'Calculation Basis'!J36+'Calculation Basis'!K71</f>
        <v>109.2</v>
      </c>
    </row>
    <row r="27" ht="13.5">
      <c r="B27" s="106" t="s">
        <v>143</v>
      </c>
    </row>
  </sheetData>
  <sheetProtection/>
  <printOptions/>
  <pageMargins left="0.75" right="0.75" top="1" bottom="1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zhijun liang</cp:lastModifiedBy>
  <dcterms:created xsi:type="dcterms:W3CDTF">2006-09-13T11:21:51Z</dcterms:created>
  <dcterms:modified xsi:type="dcterms:W3CDTF">2019-09-05T07:36:03Z</dcterms:modified>
  <cp:category/>
  <cp:version/>
  <cp:contentType/>
  <cp:contentStatus/>
</cp:coreProperties>
</file>